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иск бюджет 2026\Бюджет ВП на 2026 год\формы СЕМ\отправка 10.07.26\"/>
    </mc:Choice>
  </mc:AlternateContent>
  <xr:revisionPtr revIDLastSave="0" documentId="13_ncr:1_{CCE5E437-15D5-476C-81FC-F6B13C12CD87}" xr6:coauthVersionLast="36" xr6:coauthVersionMax="36" xr10:uidLastSave="{00000000-0000-0000-0000-000000000000}"/>
  <bookViews>
    <workbookView xWindow="0" yWindow="0" windowWidth="23256" windowHeight="12432" xr2:uid="{00000000-000D-0000-FFFF-FFFF00000000}"/>
  </bookViews>
  <sheets>
    <sheet name="форма 3-г 2025 " sheetId="1" r:id="rId1"/>
  </sheets>
  <definedNames>
    <definedName name="_xlnm.Print_Titles" localSheetId="0">'форма 3-г 2025 '!$14:$17</definedName>
    <definedName name="_xlnm.Print_Area" localSheetId="0">'форма 3-г 2025 '!$A$1:$K$49</definedName>
  </definedNames>
  <calcPr calcId="191029"/>
</workbook>
</file>

<file path=xl/calcChain.xml><?xml version="1.0" encoding="utf-8"?>
<calcChain xmlns="http://schemas.openxmlformats.org/spreadsheetml/2006/main">
  <c r="F68" i="1" l="1"/>
  <c r="E43" i="1"/>
  <c r="G68" i="1" l="1"/>
  <c r="H68" i="1"/>
  <c r="I68" i="1"/>
  <c r="H58" i="1"/>
  <c r="I58" i="1"/>
  <c r="J22" i="1" l="1"/>
  <c r="M44" i="1" l="1"/>
  <c r="M45" i="1"/>
  <c r="M46" i="1"/>
  <c r="M47" i="1"/>
  <c r="M23" i="1"/>
  <c r="M24" i="1"/>
  <c r="M25" i="1"/>
  <c r="M26" i="1"/>
  <c r="M27" i="1"/>
  <c r="M28" i="1"/>
  <c r="M29" i="1"/>
  <c r="M30" i="1"/>
  <c r="M31" i="1"/>
  <c r="M32" i="1"/>
  <c r="M33" i="1"/>
  <c r="M34" i="1"/>
  <c r="M37" i="1"/>
  <c r="M38" i="1"/>
  <c r="M39" i="1"/>
  <c r="M40" i="1"/>
  <c r="M41" i="1"/>
  <c r="M42" i="1"/>
  <c r="M43" i="1"/>
  <c r="M22" i="1"/>
  <c r="E22" i="1"/>
  <c r="E21" i="1"/>
  <c r="G62" i="1"/>
  <c r="I57" i="1" l="1"/>
  <c r="G21" i="1"/>
  <c r="G28" i="1" l="1"/>
  <c r="I43" i="1" l="1"/>
  <c r="E42" i="1" l="1"/>
  <c r="E41" i="1"/>
  <c r="E40" i="1"/>
  <c r="E39" i="1"/>
  <c r="E38" i="1"/>
  <c r="E37" i="1"/>
  <c r="E28" i="1"/>
  <c r="E27" i="1"/>
  <c r="E26" i="1"/>
  <c r="E25" i="1"/>
  <c r="E24" i="1"/>
  <c r="E23" i="1"/>
  <c r="I28" i="1" l="1"/>
  <c r="I38" i="1" l="1"/>
  <c r="I37" i="1"/>
  <c r="I39" i="1"/>
  <c r="I42" i="1" l="1"/>
  <c r="I41" i="1"/>
  <c r="I40" i="1"/>
  <c r="H60" i="1" l="1"/>
  <c r="H59" i="1"/>
  <c r="H38" i="1"/>
  <c r="H42" i="1"/>
  <c r="H43" i="1" l="1"/>
  <c r="H41" i="1" l="1"/>
  <c r="H37" i="1"/>
  <c r="H40" i="1"/>
  <c r="I59" i="1" l="1"/>
  <c r="I60" i="1"/>
  <c r="F62" i="1"/>
  <c r="G43" i="1" l="1"/>
  <c r="F43" i="1"/>
  <c r="G42" i="1"/>
  <c r="F42" i="1"/>
  <c r="G41" i="1"/>
  <c r="F41" i="1"/>
  <c r="G38" i="1"/>
  <c r="F38" i="1"/>
  <c r="G39" i="1"/>
  <c r="F39" i="1"/>
  <c r="G40" i="1"/>
  <c r="F40" i="1"/>
  <c r="G37" i="1"/>
  <c r="F37" i="1"/>
  <c r="K43" i="1" l="1"/>
  <c r="J43" i="1"/>
  <c r="H28" i="1" l="1"/>
  <c r="I25" i="1" l="1"/>
  <c r="I27" i="1"/>
  <c r="I26" i="1"/>
  <c r="I24" i="1" l="1"/>
  <c r="I23" i="1" l="1"/>
  <c r="I22" i="1"/>
  <c r="I21" i="1" s="1"/>
  <c r="H27" i="1"/>
  <c r="H26" i="1"/>
  <c r="H25" i="1"/>
  <c r="H23" i="1"/>
  <c r="H24" i="1"/>
  <c r="H22" i="1" l="1"/>
  <c r="G24" i="1"/>
  <c r="G23" i="1"/>
  <c r="F28" i="1" l="1"/>
  <c r="F27" i="1"/>
  <c r="G26" i="1"/>
  <c r="F26" i="1"/>
  <c r="G25" i="1"/>
  <c r="F25" i="1"/>
  <c r="F24" i="1"/>
  <c r="F23" i="1"/>
  <c r="F22" i="1"/>
  <c r="F21" i="1" l="1"/>
  <c r="H21" i="1"/>
  <c r="I36" i="1" l="1"/>
  <c r="H36" i="1" l="1"/>
  <c r="H57" i="1" s="1"/>
  <c r="I62" i="1" l="1"/>
  <c r="H62" i="1"/>
  <c r="K24" i="1"/>
  <c r="J24" i="1"/>
  <c r="J45" i="1" l="1"/>
  <c r="K45" i="1"/>
  <c r="J39" i="1" l="1"/>
  <c r="K39" i="1"/>
  <c r="F36" i="1" l="1"/>
  <c r="F35" i="1" s="1"/>
  <c r="G36" i="1"/>
  <c r="J21" i="1" l="1"/>
  <c r="K42" i="1" l="1"/>
  <c r="J42" i="1"/>
  <c r="K22" i="1" l="1"/>
  <c r="E20" i="1" l="1"/>
  <c r="G20" i="1" l="1"/>
  <c r="K21" i="1"/>
  <c r="F20" i="1"/>
  <c r="H20" i="1" l="1"/>
  <c r="J20" i="1" s="1"/>
  <c r="I20" i="1"/>
  <c r="K20" i="1" s="1"/>
  <c r="J23" i="1"/>
  <c r="K23" i="1"/>
  <c r="J25" i="1"/>
  <c r="K25" i="1"/>
  <c r="J26" i="1"/>
  <c r="K26" i="1"/>
  <c r="J27" i="1"/>
  <c r="K27" i="1"/>
  <c r="J28" i="1"/>
  <c r="K28" i="1"/>
  <c r="E36" i="1" l="1"/>
  <c r="M36" i="1" s="1"/>
  <c r="E32" i="1" l="1"/>
  <c r="K40" i="1" l="1"/>
  <c r="J40" i="1"/>
  <c r="K38" i="1"/>
  <c r="J38" i="1"/>
  <c r="K37" i="1"/>
  <c r="J37" i="1"/>
  <c r="I32" i="1"/>
  <c r="H32" i="1"/>
  <c r="G32" i="1"/>
  <c r="F32" i="1"/>
  <c r="F31" i="1" s="1"/>
  <c r="E31" i="1" l="1"/>
  <c r="G31" i="1"/>
  <c r="H31" i="1"/>
  <c r="E35" i="1"/>
  <c r="M35" i="1" s="1"/>
  <c r="H35" i="1" l="1"/>
  <c r="H19" i="1" s="1"/>
  <c r="H64" i="1" s="1"/>
  <c r="J36" i="1"/>
  <c r="G35" i="1"/>
  <c r="G19" i="1" s="1"/>
  <c r="G64" i="1" s="1"/>
  <c r="K36" i="1"/>
  <c r="E19" i="1"/>
  <c r="I35" i="1"/>
  <c r="I31" i="1"/>
  <c r="F19" i="1"/>
  <c r="F64" i="1" s="1"/>
  <c r="J19" i="1" l="1"/>
  <c r="I19" i="1"/>
  <c r="I64" i="1" s="1"/>
  <c r="J35" i="1"/>
  <c r="K35" i="1"/>
  <c r="K19" i="1" l="1"/>
</calcChain>
</file>

<file path=xl/sharedStrings.xml><?xml version="1.0" encoding="utf-8"?>
<sst xmlns="http://schemas.openxmlformats.org/spreadsheetml/2006/main" count="96" uniqueCount="73">
  <si>
    <t>Автотранспорт</t>
  </si>
  <si>
    <t>Приобретение земельных участков</t>
  </si>
  <si>
    <t xml:space="preserve">Итого инвестиции </t>
  </si>
  <si>
    <t>с начала реализации проекта нарастающим итогом, %</t>
  </si>
  <si>
    <t>с начала реализации проекта нарастающим итогом (тыс. руб.)</t>
  </si>
  <si>
    <t>факт</t>
  </si>
  <si>
    <t>окончание (мес./год)</t>
  </si>
  <si>
    <t>начало (мес./год)</t>
  </si>
  <si>
    <t>Отклонение фактических показателей от плановых</t>
  </si>
  <si>
    <t>Расходы на реализацию инвестиционной программы в периоде t (отчетный период)</t>
  </si>
  <si>
    <t>Расходы на реализацию инвестиционной программы, всего (тыс. руб.)</t>
  </si>
  <si>
    <t>Срок реализации</t>
  </si>
  <si>
    <t>Наименование проекта в рамках инвестиционной программы СЕМ</t>
  </si>
  <si>
    <t>    </t>
  </si>
  <si>
    <t xml:space="preserve">Форма N 3-г </t>
  </si>
  <si>
    <t>Строительство и реконструкция зданий, сооружений, причалов</t>
  </si>
  <si>
    <t xml:space="preserve">Замена и приобретение новой внутрипортовой техники: тягачи, погрузчики, грейфера, автомобили и т.д. </t>
  </si>
  <si>
    <t>Инженерные системы (кондиционеры, вентиляция, водоснабжение, канализация, электроснабжение, оборудование трансформаторных подстанций и т.д.)</t>
  </si>
  <si>
    <t>Системы отдела связи: охранная, пожарная сигнализации, система громкоговорящей связи,охранное и промышленное видеонаблюдение, СКУД и т.д.)</t>
  </si>
  <si>
    <t>октябрь 2018г.</t>
  </si>
  <si>
    <t>декабрь 2026г.</t>
  </si>
  <si>
    <t>декабрь 2025г.</t>
  </si>
  <si>
    <t>АСУТП</t>
  </si>
  <si>
    <t>Строительство и реконструкция зданий, сооружений.</t>
  </si>
  <si>
    <t>НМА, НИОКР</t>
  </si>
  <si>
    <t>Замена и модернизация, дооборудование производственного, перегрузочного, конвейерного оборудования, техники, систем пылеподавления</t>
  </si>
  <si>
    <t>апрель 2024г.</t>
  </si>
  <si>
    <t>2025г. 
(отчетный период) 
(тыс. руб.)</t>
  </si>
  <si>
    <t>2025г.
(отчетный период), %</t>
  </si>
  <si>
    <t xml:space="preserve">Отчет о реализации Инвестиционной программы </t>
  </si>
  <si>
    <t>(наименование субъекта естественных монополий)</t>
  </si>
  <si>
    <t>(наименование субъекта Российской Федерации)</t>
  </si>
  <si>
    <t>692941 Приморский край г. Находка, п. Врангель, ул. Внутрипортовая, д.47, тел. 4236/665-271</t>
  </si>
  <si>
    <t>Управляющий директор: Байбак Вадим Юрьевич</t>
  </si>
  <si>
    <t>(наименование, место нахождения, ФИО руководителя, контактные данные)</t>
  </si>
  <si>
    <t>N пункта</t>
  </si>
  <si>
    <t xml:space="preserve">план </t>
  </si>
  <si>
    <t>январь 2025г.</t>
  </si>
  <si>
    <t>сентябрь 2022г.</t>
  </si>
  <si>
    <t>декабрь 2027г.</t>
  </si>
  <si>
    <t>июнь 
2024г.</t>
  </si>
  <si>
    <t>июнь 
2021г.</t>
  </si>
  <si>
    <t>за счет собственных средств организации:</t>
  </si>
  <si>
    <t>Проект 3
Нерегулируемая деятельность, 
в том числе:</t>
  </si>
  <si>
    <t>Проект 2
Портофлот, в том числе:</t>
  </si>
  <si>
    <t>Проект 1 
Стивидорная деятельность- ППК-1, ППК-3, Т3, в том числе:</t>
  </si>
  <si>
    <t>за счет  заемных средств:</t>
  </si>
  <si>
    <t>за счет средств бюджетов всех уровней бюджетной системы РФ</t>
  </si>
  <si>
    <t xml:space="preserve">  В случае, если предусмотрено финансирование реализации инвестиционной программы (инвестиционного проекта) за счет средств нескольких уровней бюджетной системы Российской Федерации, приводится расшифровка запланированных сумм расходов с детализацией по каждому уровню.
  В случае, если предусмотрено финансирование реализации инвестиционной программы (инвестиционного проекта) за счет средств нескольких уровней бюджетной системы Российской Федерации, приводится расшифровка запланированных сумм расходов с детализацией по каждому уровню.</t>
  </si>
  <si>
    <t>Прочие оборудование (вспомогательное оборудование, оборудование СОТиПБ, ИВЦ,  измерительное и лабораторное оборудование,  приборы, инструмент, мебель, бытовая техника и т.д.)</t>
  </si>
  <si>
    <t>июнь 
2027г.</t>
  </si>
  <si>
    <t>апрель 2022г.</t>
  </si>
  <si>
    <t>Орг. техника, фото-видео аппаратура, оборудование для музея</t>
  </si>
  <si>
    <t>апрель 2025г.</t>
  </si>
  <si>
    <t>июнь 
2025г.</t>
  </si>
  <si>
    <t>сентябрь 2025г.</t>
  </si>
  <si>
    <t>январь 2018г.</t>
  </si>
  <si>
    <t>май 
2024г.</t>
  </si>
  <si>
    <t>август 
2023г.</t>
  </si>
  <si>
    <t>ЗИМОНО</t>
  </si>
  <si>
    <t>ГПКС</t>
  </si>
  <si>
    <t>НМА/НИОКР</t>
  </si>
  <si>
    <t>ВЗУ</t>
  </si>
  <si>
    <t>Прочие оборудование (вспомогательное оборудование, оборудование СОТиПБ,  измерительное и лабораторное оборудование,  приборы, инструмент, мебель, бытовая техника и т.д.)</t>
  </si>
  <si>
    <t>утв.стоим.</t>
  </si>
  <si>
    <t>нарастающим</t>
  </si>
  <si>
    <t>план/год</t>
  </si>
  <si>
    <t>факт/год</t>
  </si>
  <si>
    <t>2025г. 
 (отчетный период) 
(тыс. руб.)</t>
  </si>
  <si>
    <r>
      <t xml:space="preserve">реализуемой    </t>
    </r>
    <r>
      <rPr>
        <u/>
        <sz val="11"/>
        <color rgb="FF000000"/>
        <rFont val="Arial"/>
        <family val="2"/>
        <charset val="204"/>
      </rPr>
      <t xml:space="preserve">АО «Восточный Порт» </t>
    </r>
  </si>
  <si>
    <r>
      <t xml:space="preserve">на территории </t>
    </r>
    <r>
      <rPr>
        <u/>
        <sz val="11"/>
        <color rgb="FF000000"/>
        <rFont val="Arial"/>
        <family val="2"/>
        <charset val="204"/>
      </rPr>
      <t>Приморского края</t>
    </r>
  </si>
  <si>
    <r>
      <t>за период:</t>
    </r>
    <r>
      <rPr>
        <u/>
        <sz val="11"/>
        <color rgb="FF000000"/>
        <rFont val="Arial"/>
        <family val="2"/>
        <charset val="204"/>
      </rPr>
      <t xml:space="preserve"> 2025 год</t>
    </r>
  </si>
  <si>
    <r>
      <t xml:space="preserve">сведения о юридическом лице: </t>
    </r>
    <r>
      <rPr>
        <u/>
        <sz val="11"/>
        <color rgb="FF000000"/>
        <rFont val="Arial"/>
        <family val="2"/>
        <charset val="204"/>
      </rPr>
      <t>АО «Восточный Порт»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</si>
</sst>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mmmm\ yyyy;@"/>
    <numFmt numFmtId="165" formatCode="0.0%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Helv"/>
    </font>
    <font>
      <sz val="11"/>
      <color theme="0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u/>
      <sz val="11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u/>
      <sz val="11"/>
      <color indexed="8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0"/>
      <name val="Arial"/>
      <family val="2"/>
      <charset val="204"/>
    </font>
    <font>
      <sz val="10"/>
      <color theme="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9" fontId="4" fillId="0" borderId="0" xfId="0" applyNumberFormat="1" applyFont="1"/>
    <xf numFmtId="1" fontId="4" fillId="0" borderId="0" xfId="0" applyNumberFormat="1" applyFont="1"/>
    <xf numFmtId="0" fontId="7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left" vertical="center" wrapText="1"/>
    </xf>
    <xf numFmtId="14" fontId="13" fillId="3" borderId="1" xfId="0" applyNumberFormat="1" applyFont="1" applyFill="1" applyBorder="1" applyAlignment="1">
      <alignment horizontal="right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vertical="center" wrapText="1"/>
    </xf>
    <xf numFmtId="14" fontId="15" fillId="2" borderId="1" xfId="0" applyNumberFormat="1" applyFont="1" applyFill="1" applyBorder="1" applyAlignment="1">
      <alignment horizontal="right" vertical="center" wrapText="1"/>
    </xf>
    <xf numFmtId="3" fontId="14" fillId="2" borderId="1" xfId="0" applyNumberFormat="1" applyFont="1" applyFill="1" applyBorder="1" applyAlignment="1">
      <alignment horizontal="center" vertical="center" wrapText="1"/>
    </xf>
    <xf numFmtId="165" fontId="1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12" fillId="0" borderId="1" xfId="0" applyFont="1" applyBorder="1" applyAlignment="1">
      <alignment vertical="center" wrapText="1"/>
    </xf>
    <xf numFmtId="14" fontId="16" fillId="0" borderId="1" xfId="0" applyNumberFormat="1" applyFont="1" applyBorder="1" applyAlignment="1">
      <alignment horizontal="right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/>
    </xf>
    <xf numFmtId="3" fontId="4" fillId="0" borderId="0" xfId="0" applyNumberFormat="1" applyFont="1"/>
    <xf numFmtId="0" fontId="12" fillId="0" borderId="1" xfId="0" applyFont="1" applyFill="1" applyBorder="1" applyAlignment="1">
      <alignment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3" fontId="12" fillId="0" borderId="1" xfId="0" applyNumberFormat="1" applyFont="1" applyFill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vertical="top" wrapText="1"/>
    </xf>
    <xf numFmtId="0" fontId="15" fillId="2" borderId="1" xfId="0" applyFont="1" applyFill="1" applyBorder="1" applyAlignment="1">
      <alignment vertical="top" wrapText="1"/>
    </xf>
    <xf numFmtId="164" fontId="12" fillId="2" borderId="1" xfId="0" applyNumberFormat="1" applyFont="1" applyFill="1" applyBorder="1" applyAlignment="1">
      <alignment horizontal="right"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164" fontId="11" fillId="2" borderId="1" xfId="0" applyNumberFormat="1" applyFont="1" applyFill="1" applyBorder="1" applyAlignment="1">
      <alignment horizontal="right" vertical="center" wrapText="1"/>
    </xf>
    <xf numFmtId="0" fontId="12" fillId="0" borderId="3" xfId="0" applyFont="1" applyBorder="1" applyAlignment="1">
      <alignment vertical="top" wrapText="1"/>
    </xf>
    <xf numFmtId="164" fontId="11" fillId="0" borderId="1" xfId="0" applyNumberFormat="1" applyFont="1" applyBorder="1" applyAlignment="1">
      <alignment horizontal="right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right" vertical="top" wrapText="1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top" wrapText="1"/>
    </xf>
    <xf numFmtId="0" fontId="12" fillId="0" borderId="0" xfId="0" applyFont="1" applyFill="1" applyBorder="1" applyAlignment="1">
      <alignment vertical="center" wrapText="1"/>
    </xf>
    <xf numFmtId="164" fontId="11" fillId="0" borderId="0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Fill="1" applyBorder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top" wrapText="1"/>
    </xf>
    <xf numFmtId="3" fontId="12" fillId="0" borderId="7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3" fontId="4" fillId="0" borderId="0" xfId="0" applyNumberFormat="1" applyFont="1" applyFill="1"/>
    <xf numFmtId="0" fontId="3" fillId="0" borderId="0" xfId="0" applyFont="1"/>
    <xf numFmtId="3" fontId="3" fillId="0" borderId="0" xfId="0" applyNumberFormat="1" applyFont="1"/>
    <xf numFmtId="3" fontId="3" fillId="0" borderId="0" xfId="0" applyNumberFormat="1" applyFont="1" applyFill="1"/>
    <xf numFmtId="0" fontId="17" fillId="0" borderId="0" xfId="0" applyFont="1"/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8" fillId="0" borderId="0" xfId="0" applyFont="1"/>
    <xf numFmtId="3" fontId="18" fillId="0" borderId="0" xfId="0" applyNumberFormat="1" applyFont="1"/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9"/>
  <sheetViews>
    <sheetView tabSelected="1" zoomScale="90" zoomScaleNormal="90" zoomScaleSheetLayoutView="90" workbookViewId="0">
      <pane ySplit="3" topLeftCell="A4" activePane="bottomLeft" state="frozen"/>
      <selection pane="bottomLeft" activeCell="B58" sqref="B58"/>
    </sheetView>
  </sheetViews>
  <sheetFormatPr defaultColWidth="9.109375" defaultRowHeight="13.8" x14ac:dyDescent="0.25"/>
  <cols>
    <col min="1" max="1" width="4.44140625" style="1" customWidth="1"/>
    <col min="2" max="2" width="53.21875" style="1" customWidth="1"/>
    <col min="3" max="4" width="9.88671875" style="1" customWidth="1"/>
    <col min="5" max="5" width="12.44140625" style="1" customWidth="1"/>
    <col min="6" max="6" width="12.109375" style="1" customWidth="1"/>
    <col min="7" max="7" width="12.33203125" style="1" customWidth="1"/>
    <col min="8" max="8" width="12" style="1" customWidth="1"/>
    <col min="9" max="9" width="13.5546875" style="1" customWidth="1"/>
    <col min="10" max="10" width="10.6640625" style="1" customWidth="1"/>
    <col min="11" max="11" width="11.88671875" style="1" customWidth="1"/>
    <col min="12" max="12" width="9.109375" style="1"/>
    <col min="13" max="13" width="12.77734375" style="60" customWidth="1"/>
    <col min="14" max="16384" width="9.109375" style="1"/>
  </cols>
  <sheetData>
    <row r="1" spans="1:19" ht="15" customHeight="1" x14ac:dyDescent="0.25">
      <c r="A1" s="69" t="s">
        <v>14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9" x14ac:dyDescent="0.25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9" ht="17.25" customHeight="1" x14ac:dyDescent="0.25">
      <c r="A3" s="70" t="s">
        <v>29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9" s="4" customFormat="1" ht="17.25" customHeight="1" x14ac:dyDescent="0.25">
      <c r="A4" s="3"/>
      <c r="B4" s="65" t="s">
        <v>69</v>
      </c>
      <c r="C4" s="65"/>
      <c r="D4" s="65"/>
      <c r="E4" s="65"/>
      <c r="F4" s="65"/>
      <c r="G4" s="65"/>
      <c r="H4" s="65"/>
      <c r="I4" s="1"/>
      <c r="J4" s="1"/>
      <c r="K4" s="1"/>
      <c r="L4" s="1"/>
      <c r="M4" s="60"/>
      <c r="N4" s="1"/>
      <c r="O4" s="1"/>
      <c r="P4" s="1"/>
      <c r="Q4" s="1"/>
      <c r="R4" s="1"/>
      <c r="S4" s="1"/>
    </row>
    <row r="5" spans="1:19" s="4" customFormat="1" ht="17.25" customHeight="1" x14ac:dyDescent="0.25">
      <c r="A5" s="3"/>
      <c r="B5" s="64" t="s">
        <v>30</v>
      </c>
      <c r="C5" s="64"/>
      <c r="D5" s="64"/>
      <c r="E5" s="64"/>
      <c r="F5" s="64"/>
      <c r="G5" s="64"/>
      <c r="H5" s="64"/>
      <c r="I5" s="1"/>
      <c r="J5" s="1"/>
      <c r="K5" s="1"/>
      <c r="L5" s="1"/>
      <c r="M5" s="60"/>
      <c r="N5" s="1"/>
      <c r="O5" s="1"/>
      <c r="P5" s="1"/>
      <c r="Q5" s="1"/>
      <c r="R5" s="1"/>
      <c r="S5" s="1"/>
    </row>
    <row r="6" spans="1:19" s="4" customFormat="1" ht="17.25" customHeight="1" x14ac:dyDescent="0.25">
      <c r="A6" s="3"/>
      <c r="B6" s="65" t="s">
        <v>70</v>
      </c>
      <c r="C6" s="65"/>
      <c r="D6" s="65"/>
      <c r="E6" s="65"/>
      <c r="F6" s="65"/>
      <c r="G6" s="65"/>
      <c r="H6" s="65"/>
      <c r="I6" s="1"/>
      <c r="J6" s="1"/>
      <c r="K6" s="1"/>
      <c r="L6" s="1"/>
      <c r="M6" s="60"/>
      <c r="N6" s="1"/>
      <c r="O6" s="1"/>
      <c r="P6" s="1"/>
      <c r="Q6" s="1"/>
      <c r="R6" s="1"/>
      <c r="S6" s="1"/>
    </row>
    <row r="7" spans="1:19" s="4" customFormat="1" ht="17.25" customHeight="1" x14ac:dyDescent="0.25">
      <c r="A7" s="3"/>
      <c r="B7" s="64" t="s">
        <v>31</v>
      </c>
      <c r="C7" s="64"/>
      <c r="D7" s="64"/>
      <c r="E7" s="64"/>
      <c r="F7" s="64"/>
      <c r="G7" s="64"/>
      <c r="H7" s="64"/>
      <c r="I7" s="1"/>
      <c r="J7" s="1"/>
      <c r="K7" s="1"/>
      <c r="L7" s="1"/>
      <c r="M7" s="60"/>
      <c r="N7" s="1"/>
      <c r="O7" s="1"/>
      <c r="P7" s="1"/>
      <c r="Q7" s="1"/>
      <c r="R7" s="1"/>
      <c r="S7" s="1"/>
    </row>
    <row r="8" spans="1:19" s="4" customFormat="1" ht="17.25" customHeight="1" x14ac:dyDescent="0.25">
      <c r="A8" s="3"/>
      <c r="B8" s="65" t="s">
        <v>71</v>
      </c>
      <c r="C8" s="65"/>
      <c r="D8" s="65"/>
      <c r="E8" s="65"/>
      <c r="F8" s="65"/>
      <c r="G8" s="65"/>
      <c r="H8" s="65"/>
      <c r="I8" s="1"/>
      <c r="J8" s="1"/>
      <c r="K8" s="1"/>
      <c r="L8" s="1"/>
      <c r="M8" s="60"/>
      <c r="N8" s="1"/>
      <c r="O8" s="1"/>
      <c r="P8" s="1"/>
      <c r="Q8" s="1"/>
      <c r="R8" s="1"/>
      <c r="S8" s="1"/>
    </row>
    <row r="9" spans="1:19" s="4" customFormat="1" ht="17.25" customHeight="1" x14ac:dyDescent="0.25">
      <c r="A9" s="3"/>
      <c r="B9" s="65" t="s">
        <v>72</v>
      </c>
      <c r="C9" s="65"/>
      <c r="D9" s="65"/>
      <c r="E9" s="65"/>
      <c r="F9" s="65"/>
      <c r="G9" s="65"/>
      <c r="H9" s="65"/>
      <c r="I9" s="1"/>
      <c r="J9" s="1"/>
      <c r="K9" s="1"/>
      <c r="L9" s="1"/>
      <c r="M9" s="60"/>
      <c r="N9" s="1"/>
      <c r="O9" s="1"/>
      <c r="P9" s="1"/>
      <c r="Q9" s="1"/>
      <c r="R9" s="1"/>
      <c r="S9" s="1"/>
    </row>
    <row r="10" spans="1:19" s="4" customFormat="1" ht="17.25" customHeight="1" x14ac:dyDescent="0.25">
      <c r="A10" s="3"/>
      <c r="B10" s="66" t="s">
        <v>32</v>
      </c>
      <c r="C10" s="66"/>
      <c r="D10" s="66"/>
      <c r="E10" s="66"/>
      <c r="F10" s="66"/>
      <c r="G10" s="66"/>
      <c r="H10" s="66"/>
      <c r="I10" s="1"/>
      <c r="J10" s="1"/>
      <c r="K10" s="1"/>
      <c r="L10" s="1"/>
      <c r="M10" s="60"/>
      <c r="N10" s="1"/>
      <c r="O10" s="1"/>
      <c r="P10" s="1"/>
      <c r="Q10" s="1"/>
      <c r="R10" s="1"/>
      <c r="S10" s="1"/>
    </row>
    <row r="11" spans="1:19" s="4" customFormat="1" ht="17.25" customHeight="1" x14ac:dyDescent="0.25">
      <c r="A11" s="3"/>
      <c r="B11" s="75" t="s">
        <v>33</v>
      </c>
      <c r="C11" s="75"/>
      <c r="D11" s="75"/>
      <c r="E11" s="75"/>
      <c r="F11" s="75"/>
      <c r="G11" s="75"/>
      <c r="H11" s="75"/>
      <c r="I11" s="1"/>
      <c r="J11" s="1"/>
      <c r="K11" s="1"/>
      <c r="L11" s="1"/>
      <c r="M11" s="60"/>
      <c r="N11" s="1"/>
      <c r="O11" s="1"/>
      <c r="P11" s="1"/>
      <c r="Q11" s="1"/>
      <c r="R11" s="1"/>
      <c r="S11" s="1"/>
    </row>
    <row r="12" spans="1:19" s="4" customFormat="1" ht="17.25" customHeight="1" x14ac:dyDescent="0.25">
      <c r="A12" s="3"/>
      <c r="B12" s="64" t="s">
        <v>34</v>
      </c>
      <c r="C12" s="64"/>
      <c r="D12" s="64"/>
      <c r="E12" s="64"/>
      <c r="F12" s="64"/>
      <c r="G12" s="64"/>
      <c r="H12" s="64"/>
      <c r="I12" s="1"/>
      <c r="J12" s="5"/>
      <c r="K12" s="6"/>
      <c r="L12" s="1"/>
      <c r="M12" s="60"/>
      <c r="N12" s="1"/>
      <c r="O12" s="1"/>
      <c r="P12" s="1"/>
      <c r="Q12" s="1"/>
      <c r="R12" s="1"/>
      <c r="S12" s="1"/>
    </row>
    <row r="13" spans="1:19" s="4" customFormat="1" ht="24" customHeight="1" x14ac:dyDescent="0.25">
      <c r="A13" s="3"/>
      <c r="B13" s="7"/>
      <c r="C13" s="7"/>
      <c r="D13" s="7"/>
      <c r="E13" s="7"/>
      <c r="F13" s="7"/>
      <c r="G13" s="7"/>
      <c r="H13" s="7"/>
      <c r="I13" s="1"/>
      <c r="J13" s="5"/>
      <c r="K13" s="6"/>
      <c r="L13" s="1"/>
      <c r="M13" s="60"/>
      <c r="N13" s="1"/>
      <c r="O13" s="1"/>
      <c r="P13" s="1"/>
      <c r="Q13" s="1"/>
      <c r="R13" s="1"/>
      <c r="S13" s="1"/>
    </row>
    <row r="14" spans="1:19" ht="15" customHeight="1" x14ac:dyDescent="0.25">
      <c r="A14" s="71" t="s">
        <v>35</v>
      </c>
      <c r="B14" s="74" t="s">
        <v>12</v>
      </c>
      <c r="C14" s="74" t="s">
        <v>11</v>
      </c>
      <c r="D14" s="74"/>
      <c r="E14" s="74" t="s">
        <v>10</v>
      </c>
      <c r="F14" s="74" t="s">
        <v>9</v>
      </c>
      <c r="G14" s="74"/>
      <c r="H14" s="74"/>
      <c r="I14" s="74"/>
      <c r="J14" s="74" t="s">
        <v>8</v>
      </c>
      <c r="K14" s="74"/>
    </row>
    <row r="15" spans="1:19" ht="15" customHeight="1" x14ac:dyDescent="0.25">
      <c r="A15" s="72"/>
      <c r="B15" s="74"/>
      <c r="C15" s="74" t="s">
        <v>7</v>
      </c>
      <c r="D15" s="74" t="s">
        <v>6</v>
      </c>
      <c r="E15" s="74"/>
      <c r="F15" s="74"/>
      <c r="G15" s="74"/>
      <c r="H15" s="74"/>
      <c r="I15" s="74"/>
      <c r="J15" s="74"/>
      <c r="K15" s="74"/>
    </row>
    <row r="16" spans="1:19" x14ac:dyDescent="0.25">
      <c r="A16" s="72"/>
      <c r="B16" s="74"/>
      <c r="C16" s="74"/>
      <c r="D16" s="74"/>
      <c r="E16" s="74"/>
      <c r="F16" s="74" t="s">
        <v>36</v>
      </c>
      <c r="G16" s="74"/>
      <c r="H16" s="74" t="s">
        <v>5</v>
      </c>
      <c r="I16" s="74"/>
      <c r="J16" s="74"/>
      <c r="K16" s="74"/>
    </row>
    <row r="17" spans="1:18" ht="59.25" customHeight="1" x14ac:dyDescent="0.25">
      <c r="A17" s="73"/>
      <c r="B17" s="74"/>
      <c r="C17" s="74"/>
      <c r="D17" s="74"/>
      <c r="E17" s="74"/>
      <c r="F17" s="8" t="s">
        <v>68</v>
      </c>
      <c r="G17" s="8" t="s">
        <v>4</v>
      </c>
      <c r="H17" s="8" t="s">
        <v>27</v>
      </c>
      <c r="I17" s="8" t="s">
        <v>4</v>
      </c>
      <c r="J17" s="8" t="s">
        <v>28</v>
      </c>
      <c r="K17" s="8" t="s">
        <v>3</v>
      </c>
    </row>
    <row r="18" spans="1:18" x14ac:dyDescent="0.25">
      <c r="A18" s="9">
        <v>1</v>
      </c>
      <c r="B18" s="10">
        <v>2</v>
      </c>
      <c r="C18" s="10">
        <v>3</v>
      </c>
      <c r="D18" s="10">
        <v>4</v>
      </c>
      <c r="E18" s="10">
        <v>5</v>
      </c>
      <c r="F18" s="10">
        <v>6</v>
      </c>
      <c r="G18" s="10">
        <v>7</v>
      </c>
      <c r="H18" s="10">
        <v>8</v>
      </c>
      <c r="I18" s="10">
        <v>9</v>
      </c>
      <c r="J18" s="10">
        <v>10</v>
      </c>
      <c r="K18" s="10">
        <v>11</v>
      </c>
    </row>
    <row r="19" spans="1:18" ht="21" customHeight="1" x14ac:dyDescent="0.25">
      <c r="A19" s="11"/>
      <c r="B19" s="12" t="s">
        <v>2</v>
      </c>
      <c r="C19" s="13"/>
      <c r="D19" s="13"/>
      <c r="E19" s="14">
        <f>E20+E31+E35</f>
        <v>5615919.5999999996</v>
      </c>
      <c r="F19" s="14">
        <f>F20+F31+F35</f>
        <v>4565776</v>
      </c>
      <c r="G19" s="14">
        <f>G20+G31+G35</f>
        <v>13780181</v>
      </c>
      <c r="H19" s="14">
        <f>H20+H31+H35</f>
        <v>3461258</v>
      </c>
      <c r="I19" s="14">
        <f>I20+I31+I35</f>
        <v>5615919.5999999996</v>
      </c>
      <c r="J19" s="15">
        <f>H19/F19</f>
        <v>0.7580875627713668</v>
      </c>
      <c r="K19" s="15">
        <f>I19/G19</f>
        <v>0.40753598229224997</v>
      </c>
    </row>
    <row r="20" spans="1:18" ht="42.75" customHeight="1" x14ac:dyDescent="0.25">
      <c r="A20" s="16">
        <v>1</v>
      </c>
      <c r="B20" s="17" t="s">
        <v>45</v>
      </c>
      <c r="C20" s="18"/>
      <c r="D20" s="18"/>
      <c r="E20" s="19">
        <f>E21+E29</f>
        <v>4793409.5999999996</v>
      </c>
      <c r="F20" s="19">
        <f>F21+F29</f>
        <v>3828644</v>
      </c>
      <c r="G20" s="19">
        <f>G21+G29</f>
        <v>12236059</v>
      </c>
      <c r="H20" s="19">
        <f>H21+H29</f>
        <v>2929104</v>
      </c>
      <c r="I20" s="19">
        <f>I21+I29</f>
        <v>4793409.5999999996</v>
      </c>
      <c r="J20" s="20">
        <f>H20/F20</f>
        <v>0.76504997591836688</v>
      </c>
      <c r="K20" s="20">
        <f>I20/G20</f>
        <v>0.39174456416073178</v>
      </c>
    </row>
    <row r="21" spans="1:18" x14ac:dyDescent="0.25">
      <c r="A21" s="21"/>
      <c r="B21" s="22" t="s">
        <v>42</v>
      </c>
      <c r="C21" s="23"/>
      <c r="D21" s="23"/>
      <c r="E21" s="24">
        <f>SUM(E22:E28)</f>
        <v>4793409.5999999996</v>
      </c>
      <c r="F21" s="24">
        <f t="shared" ref="F21" si="0">SUM(F22:F28)</f>
        <v>3828644</v>
      </c>
      <c r="G21" s="24">
        <f>SUM(G22:G28)</f>
        <v>12236059</v>
      </c>
      <c r="H21" s="24">
        <f>SUM(H22:H28)</f>
        <v>2929104</v>
      </c>
      <c r="I21" s="24">
        <f>SUM(I22:I28)</f>
        <v>4793409.5999999996</v>
      </c>
      <c r="J21" s="25">
        <f>H21/F21</f>
        <v>0.76504997591836688</v>
      </c>
      <c r="K21" s="25">
        <f t="shared" ref="K21" si="1">I21/G21</f>
        <v>0.39174456416073178</v>
      </c>
      <c r="M21" s="61"/>
      <c r="N21" s="26"/>
      <c r="O21" s="26"/>
      <c r="P21" s="26"/>
      <c r="Q21" s="26"/>
      <c r="R21" s="26"/>
    </row>
    <row r="22" spans="1:18" ht="36" customHeight="1" x14ac:dyDescent="0.25">
      <c r="A22" s="21"/>
      <c r="B22" s="27" t="s">
        <v>16</v>
      </c>
      <c r="C22" s="28" t="s">
        <v>37</v>
      </c>
      <c r="D22" s="28" t="s">
        <v>21</v>
      </c>
      <c r="E22" s="29">
        <f>37407+14937+15479+16333+2000</f>
        <v>86156</v>
      </c>
      <c r="F22" s="30">
        <f>51517+2042+22325+16638+17921</f>
        <v>110443</v>
      </c>
      <c r="G22" s="30">
        <v>110443</v>
      </c>
      <c r="H22" s="29">
        <f>37407+14937+15479+16333+2000</f>
        <v>86156</v>
      </c>
      <c r="I22" s="29">
        <f>37407+14937+15479+16333+2000</f>
        <v>86156</v>
      </c>
      <c r="J22" s="25">
        <f>H22/F22</f>
        <v>0.78009470948815229</v>
      </c>
      <c r="K22" s="25">
        <f>I22/G22</f>
        <v>0.78009470948815229</v>
      </c>
      <c r="M22" s="61">
        <f>E22-I22</f>
        <v>0</v>
      </c>
    </row>
    <row r="23" spans="1:18" ht="40.5" customHeight="1" x14ac:dyDescent="0.25">
      <c r="A23" s="21"/>
      <c r="B23" s="27" t="s">
        <v>25</v>
      </c>
      <c r="C23" s="28" t="s">
        <v>26</v>
      </c>
      <c r="D23" s="28" t="s">
        <v>50</v>
      </c>
      <c r="E23" s="29">
        <f>772048+1472+646+945+1714+656+1854+109804+167</f>
        <v>889306</v>
      </c>
      <c r="F23" s="29">
        <f>831015+197045+907+3804+126252+946+1893+656+2014</f>
        <v>1164532</v>
      </c>
      <c r="G23" s="29">
        <f>1164532+4488736</f>
        <v>5653268</v>
      </c>
      <c r="H23" s="29">
        <f>772048+1472+646+945+1714+656+1854+109804</f>
        <v>889139</v>
      </c>
      <c r="I23" s="29">
        <f>772048+1472+646+945+1714+656+1854+109804+167</f>
        <v>889306</v>
      </c>
      <c r="J23" s="25">
        <f t="shared" ref="J23:J28" si="2">H23/F23</f>
        <v>0.76351615928115324</v>
      </c>
      <c r="K23" s="25">
        <f t="shared" ref="K23:K28" si="3">I23/G23</f>
        <v>0.1573083037987939</v>
      </c>
      <c r="M23" s="61">
        <f t="shared" ref="M23:M47" si="4">E23-I23</f>
        <v>0</v>
      </c>
    </row>
    <row r="24" spans="1:18" ht="20.399999999999999" x14ac:dyDescent="0.25">
      <c r="A24" s="21"/>
      <c r="B24" s="27" t="s">
        <v>22</v>
      </c>
      <c r="C24" s="28" t="s">
        <v>40</v>
      </c>
      <c r="D24" s="28" t="s">
        <v>21</v>
      </c>
      <c r="E24" s="29">
        <f>174+5717+2696+490</f>
        <v>9077</v>
      </c>
      <c r="F24" s="29">
        <f>1008+17940+5875</f>
        <v>24823</v>
      </c>
      <c r="G24" s="29">
        <f>24823+1348+1348+490</f>
        <v>28009</v>
      </c>
      <c r="H24" s="29">
        <f>174+5717</f>
        <v>5891</v>
      </c>
      <c r="I24" s="29">
        <f>174+5717+2696+490</f>
        <v>9077</v>
      </c>
      <c r="J24" s="25">
        <f t="shared" ref="J24" si="5">H24/F24</f>
        <v>0.23732022720863716</v>
      </c>
      <c r="K24" s="25">
        <f t="shared" ref="K24" si="6">I24/G24</f>
        <v>0.32407440465564641</v>
      </c>
      <c r="M24" s="61">
        <f t="shared" si="4"/>
        <v>0</v>
      </c>
    </row>
    <row r="25" spans="1:18" ht="34.200000000000003" x14ac:dyDescent="0.25">
      <c r="A25" s="21"/>
      <c r="B25" s="27" t="s">
        <v>17</v>
      </c>
      <c r="C25" s="28" t="s">
        <v>41</v>
      </c>
      <c r="D25" s="28" t="s">
        <v>20</v>
      </c>
      <c r="E25" s="29">
        <f>408+9012+13840+4900+4125+6898+10086+18341+3713+598+8549+3692+14109+1659+2402+1300+18841+295+4108+900</f>
        <v>127776</v>
      </c>
      <c r="F25" s="29">
        <f>2617+409+12211+14284+6358+6261+9004+10407+41016+6872+57109+3413+644+13899+1550+4172</f>
        <v>190226</v>
      </c>
      <c r="G25" s="29">
        <f>190226+1300+19066+295+4300+900+8266</f>
        <v>224353</v>
      </c>
      <c r="H25" s="29">
        <f>408+9012+13840+4900+4125+6898+10086+18341+3713+598+8549+3692+14109+1659+2402</f>
        <v>102332</v>
      </c>
      <c r="I25" s="29">
        <f>408+9012+13840+4900+4125+6898+10086+18341+3713+598+8549+3692+14109+1659+2402+1300+18841+295+4108+900</f>
        <v>127776</v>
      </c>
      <c r="J25" s="25">
        <f t="shared" si="2"/>
        <v>0.53794959679539078</v>
      </c>
      <c r="K25" s="25">
        <f t="shared" si="3"/>
        <v>0.56953105151257166</v>
      </c>
      <c r="M25" s="61">
        <f t="shared" si="4"/>
        <v>0</v>
      </c>
    </row>
    <row r="26" spans="1:18" ht="34.200000000000003" x14ac:dyDescent="0.25">
      <c r="A26" s="21"/>
      <c r="B26" s="27" t="s">
        <v>18</v>
      </c>
      <c r="C26" s="28" t="s">
        <v>38</v>
      </c>
      <c r="D26" s="28" t="s">
        <v>21</v>
      </c>
      <c r="E26" s="29">
        <f>282+24279+1940+1020+465+998+752+1710+1020+2203+2135+453+317+7319+13898+774+3326+4562+1415+954+15731</f>
        <v>85553</v>
      </c>
      <c r="F26" s="29">
        <f>28178+2398+1303+482+1008+10699+2244+2755+2435+489+455+10035+21672+783+16003+944+3629</f>
        <v>105512</v>
      </c>
      <c r="G26" s="29">
        <f>105512+1415+954+15858+41791</f>
        <v>165530</v>
      </c>
      <c r="H26" s="29">
        <f>282+24279+1940+1020+465+998+752+1710+1020+2203+2135+453+317+7319+13898+774+3326+4562</f>
        <v>67453</v>
      </c>
      <c r="I26" s="29">
        <f>282+24279+1940+1020+465+998+752+1710+1020+2203+2135+453+317+7319+13898+774+3326+4562+1415+954+15731</f>
        <v>85553</v>
      </c>
      <c r="J26" s="25">
        <f t="shared" si="2"/>
        <v>0.63929221320797636</v>
      </c>
      <c r="K26" s="25">
        <f t="shared" si="3"/>
        <v>0.51684286836223037</v>
      </c>
      <c r="M26" s="61">
        <f t="shared" si="4"/>
        <v>0</v>
      </c>
    </row>
    <row r="27" spans="1:18" ht="45.6" x14ac:dyDescent="0.25">
      <c r="A27" s="21"/>
      <c r="B27" s="27" t="s">
        <v>49</v>
      </c>
      <c r="C27" s="28" t="s">
        <v>37</v>
      </c>
      <c r="D27" s="28" t="s">
        <v>21</v>
      </c>
      <c r="E27" s="29">
        <f>2156+108+153+152+258+136+220+408+737+833+1894+3747+286+1320+3768+2338+308+375+384+220+143+2500+4982+221+157+157+157+5986+2167+740+412+754+3056+2559+1157+1728+625+1350+472+290</f>
        <v>49414</v>
      </c>
      <c r="F27" s="29">
        <f>7594+156+154+163+269+140+3930+3024+759+410+2666+419+555+3084+1270+4033+1010+26395+62980+39491+428+3302+2933+1313+857+2465</f>
        <v>169800</v>
      </c>
      <c r="G27" s="29">
        <v>169800</v>
      </c>
      <c r="H27" s="29">
        <f>2156+108+153+152+258+136+220+408+737+833+1894+3747+286+1320+3768+2338+308+375+384+220+143+2500+4982+221+157+157+157+5986+2167+740+412+754+3056+2559+1157+1728+625+1350+472</f>
        <v>49124</v>
      </c>
      <c r="I27" s="29">
        <f>2156+108+153+152+258+136+220+408+737+833+1894+3747+286+1320+3768+2338+308+375+384+220+143+2500+4982+221+157+157+157+5986+2167+740+412+754+3056+2559+1157+1728+625+1350+472+290</f>
        <v>49414</v>
      </c>
      <c r="J27" s="25">
        <f t="shared" si="2"/>
        <v>0.28930506478209661</v>
      </c>
      <c r="K27" s="25">
        <f t="shared" si="3"/>
        <v>0.29101295641931685</v>
      </c>
      <c r="M27" s="61">
        <f t="shared" si="4"/>
        <v>0</v>
      </c>
    </row>
    <row r="28" spans="1:18" s="58" customFormat="1" ht="20.399999999999999" x14ac:dyDescent="0.25">
      <c r="A28" s="56"/>
      <c r="B28" s="27" t="s">
        <v>15</v>
      </c>
      <c r="C28" s="28" t="s">
        <v>19</v>
      </c>
      <c r="D28" s="28" t="s">
        <v>39</v>
      </c>
      <c r="E28" s="29">
        <f>1598754+130255+734115+29113+15376.2+82830+37951+10784+906949.4</f>
        <v>3546127.6</v>
      </c>
      <c r="F28" s="29">
        <f>1426615+636693</f>
        <v>2063308</v>
      </c>
      <c r="G28" s="57">
        <f>4919116+965540</f>
        <v>5884656</v>
      </c>
      <c r="H28" s="29">
        <f>1598754+130255</f>
        <v>1729009</v>
      </c>
      <c r="I28" s="29">
        <f>1598754+130255+734115+29113+15376.2+82830+37951+10784+906949.4</f>
        <v>3546127.6</v>
      </c>
      <c r="J28" s="25">
        <f t="shared" si="2"/>
        <v>0.83797910927500885</v>
      </c>
      <c r="K28" s="25">
        <f t="shared" si="3"/>
        <v>0.60260575979292585</v>
      </c>
      <c r="M28" s="62">
        <f t="shared" si="4"/>
        <v>0</v>
      </c>
      <c r="N28" s="59"/>
      <c r="O28" s="59"/>
      <c r="P28" s="59"/>
      <c r="Q28" s="59"/>
    </row>
    <row r="29" spans="1:18" x14ac:dyDescent="0.25">
      <c r="A29" s="21"/>
      <c r="B29" s="31" t="s">
        <v>46</v>
      </c>
      <c r="C29" s="32"/>
      <c r="D29" s="32"/>
      <c r="E29" s="29"/>
      <c r="F29" s="29"/>
      <c r="G29" s="29"/>
      <c r="H29" s="29"/>
      <c r="I29" s="29"/>
      <c r="J29" s="25"/>
      <c r="K29" s="25"/>
      <c r="M29" s="61">
        <f t="shared" si="4"/>
        <v>0</v>
      </c>
    </row>
    <row r="30" spans="1:18" x14ac:dyDescent="0.25">
      <c r="A30" s="21"/>
      <c r="B30" s="31" t="s">
        <v>47</v>
      </c>
      <c r="C30" s="32"/>
      <c r="D30" s="32"/>
      <c r="E30" s="29"/>
      <c r="F30" s="29"/>
      <c r="G30" s="29"/>
      <c r="H30" s="29"/>
      <c r="I30" s="29"/>
      <c r="J30" s="25"/>
      <c r="K30" s="25"/>
      <c r="M30" s="61">
        <f t="shared" si="4"/>
        <v>0</v>
      </c>
    </row>
    <row r="31" spans="1:18" ht="26.4" x14ac:dyDescent="0.25">
      <c r="A31" s="33"/>
      <c r="B31" s="34" t="s">
        <v>44</v>
      </c>
      <c r="C31" s="35"/>
      <c r="D31" s="35"/>
      <c r="E31" s="36">
        <f>E32</f>
        <v>0</v>
      </c>
      <c r="F31" s="36">
        <f>F32</f>
        <v>0</v>
      </c>
      <c r="G31" s="36">
        <f>G32</f>
        <v>0</v>
      </c>
      <c r="H31" s="36">
        <f>H32</f>
        <v>0</v>
      </c>
      <c r="I31" s="36">
        <f>I32</f>
        <v>0</v>
      </c>
      <c r="J31" s="37"/>
      <c r="K31" s="37"/>
      <c r="M31" s="61">
        <f t="shared" si="4"/>
        <v>0</v>
      </c>
    </row>
    <row r="32" spans="1:18" x14ac:dyDescent="0.25">
      <c r="A32" s="21"/>
      <c r="B32" s="22" t="s">
        <v>42</v>
      </c>
      <c r="C32" s="38"/>
      <c r="D32" s="38"/>
      <c r="E32" s="24">
        <f>SUM(E34:E34)</f>
        <v>0</v>
      </c>
      <c r="F32" s="24">
        <f>SUM(F34:F34)</f>
        <v>0</v>
      </c>
      <c r="G32" s="24">
        <f>SUM(G34:G34)</f>
        <v>0</v>
      </c>
      <c r="H32" s="24">
        <f>SUM(H34:H34)</f>
        <v>0</v>
      </c>
      <c r="I32" s="24">
        <f>SUM(I34:I34)</f>
        <v>0</v>
      </c>
      <c r="J32" s="39"/>
      <c r="K32" s="39"/>
      <c r="M32" s="61">
        <f t="shared" si="4"/>
        <v>0</v>
      </c>
    </row>
    <row r="33" spans="1:17" x14ac:dyDescent="0.25">
      <c r="A33" s="21"/>
      <c r="B33" s="22" t="s">
        <v>46</v>
      </c>
      <c r="C33" s="38"/>
      <c r="D33" s="38"/>
      <c r="E33" s="24"/>
      <c r="F33" s="24"/>
      <c r="G33" s="24"/>
      <c r="H33" s="24"/>
      <c r="I33" s="24"/>
      <c r="J33" s="39"/>
      <c r="K33" s="39"/>
      <c r="M33" s="61">
        <f t="shared" si="4"/>
        <v>0</v>
      </c>
    </row>
    <row r="34" spans="1:17" x14ac:dyDescent="0.25">
      <c r="A34" s="21"/>
      <c r="B34" s="27" t="s">
        <v>47</v>
      </c>
      <c r="C34" s="28"/>
      <c r="D34" s="28"/>
      <c r="E34" s="29"/>
      <c r="F34" s="29"/>
      <c r="G34" s="29"/>
      <c r="H34" s="29"/>
      <c r="I34" s="29"/>
      <c r="J34" s="25"/>
      <c r="K34" s="25"/>
      <c r="M34" s="61">
        <f t="shared" si="4"/>
        <v>0</v>
      </c>
    </row>
    <row r="35" spans="1:17" ht="39.6" x14ac:dyDescent="0.25">
      <c r="A35" s="40">
        <v>2</v>
      </c>
      <c r="B35" s="17" t="s">
        <v>43</v>
      </c>
      <c r="C35" s="41"/>
      <c r="D35" s="41"/>
      <c r="E35" s="36">
        <f>E36</f>
        <v>822510</v>
      </c>
      <c r="F35" s="36">
        <f>F36</f>
        <v>737132</v>
      </c>
      <c r="G35" s="36">
        <f>G36</f>
        <v>1544122</v>
      </c>
      <c r="H35" s="36">
        <f>H36</f>
        <v>532154</v>
      </c>
      <c r="I35" s="36">
        <f>I36</f>
        <v>822510</v>
      </c>
      <c r="J35" s="37">
        <f t="shared" ref="J35:J40" si="7">H35/F35</f>
        <v>0.72192497408876566</v>
      </c>
      <c r="K35" s="37">
        <f t="shared" ref="K35:K40" si="8">I35/G35</f>
        <v>0.53267164123042088</v>
      </c>
      <c r="M35" s="61">
        <f t="shared" si="4"/>
        <v>0</v>
      </c>
    </row>
    <row r="36" spans="1:17" s="45" customFormat="1" ht="15" customHeight="1" x14ac:dyDescent="0.25">
      <c r="A36" s="42"/>
      <c r="B36" s="22" t="s">
        <v>42</v>
      </c>
      <c r="C36" s="43"/>
      <c r="D36" s="43"/>
      <c r="E36" s="30">
        <f>SUM(E37:E45)</f>
        <v>822510</v>
      </c>
      <c r="F36" s="30">
        <f>SUM(F37:F45)</f>
        <v>737132</v>
      </c>
      <c r="G36" s="30">
        <f>SUM(G37:G45)</f>
        <v>1544122</v>
      </c>
      <c r="H36" s="30">
        <f>SUM(H37:H45)</f>
        <v>532154</v>
      </c>
      <c r="I36" s="30">
        <f>SUM(I37:I45)</f>
        <v>822510</v>
      </c>
      <c r="J36" s="44">
        <f t="shared" si="7"/>
        <v>0.72192497408876566</v>
      </c>
      <c r="K36" s="44">
        <f t="shared" si="8"/>
        <v>0.53267164123042088</v>
      </c>
      <c r="M36" s="61">
        <f t="shared" si="4"/>
        <v>0</v>
      </c>
    </row>
    <row r="37" spans="1:17" ht="43.5" customHeight="1" x14ac:dyDescent="0.25">
      <c r="A37" s="21"/>
      <c r="B37" s="27" t="s">
        <v>17</v>
      </c>
      <c r="C37" s="28" t="s">
        <v>51</v>
      </c>
      <c r="D37" s="28" t="s">
        <v>20</v>
      </c>
      <c r="E37" s="29">
        <f>450+5352+3249+83461+573+4568+1526+3280+3030+630+8084+51560+388+254+577</f>
        <v>166982</v>
      </c>
      <c r="F37" s="29">
        <f>5799+7081+87923+1000+5066+2540+681+10736</f>
        <v>120826</v>
      </c>
      <c r="G37" s="29">
        <f>120826+51561+16650+388+577</f>
        <v>190002</v>
      </c>
      <c r="H37" s="29">
        <f>450+5352+3249+83461+573+4568+1526+3280+3030+630+8084</f>
        <v>114203</v>
      </c>
      <c r="I37" s="29">
        <f>450+5352+3249+83461+573+4568+1526+3280+3030+630+8084+51560+388+254+577</f>
        <v>166982</v>
      </c>
      <c r="J37" s="25">
        <f t="shared" si="7"/>
        <v>0.94518563885256479</v>
      </c>
      <c r="K37" s="25">
        <f t="shared" si="8"/>
        <v>0.87884338059599376</v>
      </c>
      <c r="M37" s="61">
        <f t="shared" si="4"/>
        <v>0</v>
      </c>
    </row>
    <row r="38" spans="1:17" s="47" customFormat="1" ht="34.200000000000003" x14ac:dyDescent="0.25">
      <c r="A38" s="46"/>
      <c r="B38" s="27" t="s">
        <v>18</v>
      </c>
      <c r="C38" s="28" t="s">
        <v>57</v>
      </c>
      <c r="D38" s="28" t="s">
        <v>55</v>
      </c>
      <c r="E38" s="29">
        <f>421+7041+3633+3463+542+1556+1437+424+751+4679+300+4221</f>
        <v>28468</v>
      </c>
      <c r="F38" s="29">
        <f>500+5192+5666+3478+529+965</f>
        <v>16330</v>
      </c>
      <c r="G38" s="29">
        <f>16330+300+4870</f>
        <v>21500</v>
      </c>
      <c r="H38" s="29">
        <f>421+7041+3633+3463+542+1556+1437+424+751+4679</f>
        <v>23947</v>
      </c>
      <c r="I38" s="29">
        <f>421+7041+3633+3463+542+1556+1437+424+751+4679+300+4221</f>
        <v>28468</v>
      </c>
      <c r="J38" s="25">
        <f t="shared" si="7"/>
        <v>1.4664421310471525</v>
      </c>
      <c r="K38" s="25">
        <f t="shared" si="8"/>
        <v>1.3240930232558139</v>
      </c>
      <c r="M38" s="61">
        <f t="shared" si="4"/>
        <v>0</v>
      </c>
    </row>
    <row r="39" spans="1:17" s="47" customFormat="1" ht="20.399999999999999" x14ac:dyDescent="0.25">
      <c r="A39" s="46"/>
      <c r="B39" s="27" t="s">
        <v>22</v>
      </c>
      <c r="C39" s="28" t="s">
        <v>58</v>
      </c>
      <c r="D39" s="28" t="s">
        <v>55</v>
      </c>
      <c r="E39" s="29">
        <f>5328</f>
        <v>5328</v>
      </c>
      <c r="F39" s="29">
        <f>20370</f>
        <v>20370</v>
      </c>
      <c r="G39" s="29">
        <f>20370+5328</f>
        <v>25698</v>
      </c>
      <c r="H39" s="29"/>
      <c r="I39" s="29">
        <f>5328</f>
        <v>5328</v>
      </c>
      <c r="J39" s="25">
        <f t="shared" ref="J39" si="9">H39/F39</f>
        <v>0</v>
      </c>
      <c r="K39" s="25">
        <f t="shared" ref="K39" si="10">I39/G39</f>
        <v>0.20733130982955872</v>
      </c>
      <c r="M39" s="61">
        <f t="shared" si="4"/>
        <v>0</v>
      </c>
    </row>
    <row r="40" spans="1:17" s="47" customFormat="1" ht="20.399999999999999" x14ac:dyDescent="0.25">
      <c r="A40" s="46"/>
      <c r="B40" s="27" t="s">
        <v>0</v>
      </c>
      <c r="C40" s="28" t="s">
        <v>53</v>
      </c>
      <c r="D40" s="28" t="s">
        <v>21</v>
      </c>
      <c r="E40" s="29">
        <f>3582+5858</f>
        <v>9440</v>
      </c>
      <c r="F40" s="29">
        <f>4954+7216</f>
        <v>12170</v>
      </c>
      <c r="G40" s="29">
        <f>4954+7216</f>
        <v>12170</v>
      </c>
      <c r="H40" s="29">
        <f>3582+5858</f>
        <v>9440</v>
      </c>
      <c r="I40" s="29">
        <f>3582+5858</f>
        <v>9440</v>
      </c>
      <c r="J40" s="25">
        <f t="shared" si="7"/>
        <v>0.77567789646672147</v>
      </c>
      <c r="K40" s="25">
        <f t="shared" si="8"/>
        <v>0.77567789646672147</v>
      </c>
      <c r="M40" s="61">
        <f t="shared" si="4"/>
        <v>0</v>
      </c>
    </row>
    <row r="41" spans="1:17" s="47" customFormat="1" ht="20.399999999999999" x14ac:dyDescent="0.25">
      <c r="A41" s="46"/>
      <c r="B41" s="27" t="s">
        <v>52</v>
      </c>
      <c r="C41" s="28" t="s">
        <v>53</v>
      </c>
      <c r="D41" s="28" t="s">
        <v>54</v>
      </c>
      <c r="E41" s="29">
        <f>250+103+580</f>
        <v>933</v>
      </c>
      <c r="F41" s="29">
        <f>380+205</f>
        <v>585</v>
      </c>
      <c r="G41" s="29">
        <f>380+205</f>
        <v>585</v>
      </c>
      <c r="H41" s="29">
        <f>250+103+580</f>
        <v>933</v>
      </c>
      <c r="I41" s="29">
        <f>250+103+580</f>
        <v>933</v>
      </c>
      <c r="J41" s="25"/>
      <c r="K41" s="25"/>
      <c r="M41" s="61">
        <f t="shared" si="4"/>
        <v>0</v>
      </c>
    </row>
    <row r="42" spans="1:17" ht="45.6" x14ac:dyDescent="0.25">
      <c r="A42" s="21"/>
      <c r="B42" s="27" t="s">
        <v>63</v>
      </c>
      <c r="C42" s="28" t="s">
        <v>37</v>
      </c>
      <c r="D42" s="28" t="s">
        <v>55</v>
      </c>
      <c r="E42" s="29">
        <f>141+388+182+126+536+413+532+158+337+495+77+1118+1118+551+458+509+290+975+229+301+3420+3473+6172+4423+192+260+139</f>
        <v>27013</v>
      </c>
      <c r="F42" s="29">
        <f>137+414+204+194+129+534+455+538+190+383+1265+1265+590+618+576+444+354+1080+237+368+2843</f>
        <v>12818</v>
      </c>
      <c r="G42" s="29">
        <f>137+414+204+194+129+534+455+538+190+383+1265+1265+590+618+576+444+354+1080+237+368+2843</f>
        <v>12818</v>
      </c>
      <c r="H42" s="29">
        <f>141+388+182+126+536+413+532+158+337+495+77+1118+1118+551+458+509+290+975+229+301+3420+3473+6172+4423+192+260+139</f>
        <v>27013</v>
      </c>
      <c r="I42" s="29">
        <f>141+388+182+126+536+413+532+158+337+495+77+1118+1118+551+458+509+290+975+229+301+3420+3473+6172+4423+192+260+139</f>
        <v>27013</v>
      </c>
      <c r="J42" s="25">
        <f t="shared" ref="J42:J43" si="11">H42/F42</f>
        <v>2.1074270557029178</v>
      </c>
      <c r="K42" s="25">
        <f t="shared" ref="K42:K43" si="12">I42/G42</f>
        <v>2.1074270557029178</v>
      </c>
      <c r="M42" s="61">
        <f t="shared" si="4"/>
        <v>0</v>
      </c>
      <c r="Q42" s="26"/>
    </row>
    <row r="43" spans="1:17" s="58" customFormat="1" ht="19.5" customHeight="1" x14ac:dyDescent="0.25">
      <c r="A43" s="56"/>
      <c r="B43" s="27" t="s">
        <v>23</v>
      </c>
      <c r="C43" s="28" t="s">
        <v>56</v>
      </c>
      <c r="D43" s="28" t="s">
        <v>39</v>
      </c>
      <c r="E43" s="29">
        <f>3877+583+5047+288504+56528+45120+133320+49288</f>
        <v>582267</v>
      </c>
      <c r="F43" s="29">
        <f>25335+827+56308+468963</f>
        <v>551433</v>
      </c>
      <c r="G43" s="29">
        <f>172149+23329+106305+976966</f>
        <v>1278749</v>
      </c>
      <c r="H43" s="29">
        <f>3877+583+5047+288504+56528</f>
        <v>354539</v>
      </c>
      <c r="I43" s="29">
        <f>3877+583+5047+288504+56528+45120+133320+49288</f>
        <v>582267</v>
      </c>
      <c r="J43" s="25">
        <f t="shared" si="11"/>
        <v>0.64294120953950884</v>
      </c>
      <c r="K43" s="25">
        <f t="shared" si="12"/>
        <v>0.45534111854632925</v>
      </c>
      <c r="M43" s="62">
        <f t="shared" si="4"/>
        <v>0</v>
      </c>
      <c r="Q43" s="59"/>
    </row>
    <row r="44" spans="1:17" s="49" customFormat="1" ht="17.25" customHeight="1" x14ac:dyDescent="0.25">
      <c r="A44" s="48"/>
      <c r="B44" s="31" t="s">
        <v>1</v>
      </c>
      <c r="C44" s="28"/>
      <c r="D44" s="28"/>
      <c r="E44" s="29">
        <v>1162</v>
      </c>
      <c r="F44" s="29"/>
      <c r="G44" s="29"/>
      <c r="H44" s="29">
        <v>1162</v>
      </c>
      <c r="I44" s="29">
        <v>1162</v>
      </c>
      <c r="J44" s="25"/>
      <c r="K44" s="25"/>
      <c r="M44" s="61">
        <f t="shared" si="4"/>
        <v>0</v>
      </c>
    </row>
    <row r="45" spans="1:17" s="47" customFormat="1" ht="15" customHeight="1" x14ac:dyDescent="0.25">
      <c r="A45" s="46"/>
      <c r="B45" s="27" t="s">
        <v>24</v>
      </c>
      <c r="C45" s="28" t="s">
        <v>37</v>
      </c>
      <c r="D45" s="28" t="s">
        <v>21</v>
      </c>
      <c r="E45" s="29">
        <v>917</v>
      </c>
      <c r="F45" s="29">
        <v>2600</v>
      </c>
      <c r="G45" s="29">
        <v>2600</v>
      </c>
      <c r="H45" s="29">
        <v>917</v>
      </c>
      <c r="I45" s="29">
        <v>917</v>
      </c>
      <c r="J45" s="25">
        <f t="shared" ref="J45" si="13">H45/F45</f>
        <v>0.35269230769230769</v>
      </c>
      <c r="K45" s="25">
        <f t="shared" ref="K45" si="14">I45/G45</f>
        <v>0.35269230769230769</v>
      </c>
      <c r="M45" s="61">
        <f t="shared" si="4"/>
        <v>0</v>
      </c>
      <c r="Q45" s="50"/>
    </row>
    <row r="46" spans="1:17" x14ac:dyDescent="0.25">
      <c r="A46" s="21"/>
      <c r="B46" s="22" t="s">
        <v>46</v>
      </c>
      <c r="C46" s="38"/>
      <c r="D46" s="38"/>
      <c r="E46" s="24"/>
      <c r="F46" s="24"/>
      <c r="G46" s="24"/>
      <c r="H46" s="24"/>
      <c r="I46" s="24"/>
      <c r="J46" s="39"/>
      <c r="K46" s="39"/>
      <c r="M46" s="61">
        <f t="shared" si="4"/>
        <v>0</v>
      </c>
    </row>
    <row r="47" spans="1:17" x14ac:dyDescent="0.25">
      <c r="A47" s="21"/>
      <c r="B47" s="27" t="s">
        <v>47</v>
      </c>
      <c r="C47" s="28"/>
      <c r="D47" s="28"/>
      <c r="E47" s="29"/>
      <c r="F47" s="29"/>
      <c r="G47" s="29"/>
      <c r="H47" s="29"/>
      <c r="I47" s="29"/>
      <c r="J47" s="25"/>
      <c r="K47" s="25"/>
      <c r="M47" s="61">
        <f t="shared" si="4"/>
        <v>0</v>
      </c>
      <c r="Q47" s="26"/>
    </row>
    <row r="48" spans="1:17" x14ac:dyDescent="0.25">
      <c r="A48" s="51"/>
      <c r="B48" s="52"/>
      <c r="C48" s="53"/>
      <c r="D48" s="53"/>
      <c r="E48" s="54"/>
      <c r="F48" s="54"/>
      <c r="G48" s="54"/>
      <c r="H48" s="54"/>
      <c r="I48" s="54"/>
      <c r="J48" s="55"/>
      <c r="K48" s="55"/>
      <c r="Q48" s="26"/>
    </row>
    <row r="49" spans="1:19" s="45" customFormat="1" ht="51" customHeight="1" x14ac:dyDescent="0.2">
      <c r="A49" s="67" t="s">
        <v>48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M49" s="63"/>
    </row>
    <row r="53" spans="1:19" x14ac:dyDescent="0.25">
      <c r="E53" s="60"/>
      <c r="F53" s="60"/>
      <c r="G53" s="60"/>
      <c r="H53" s="60"/>
      <c r="I53" s="60"/>
      <c r="J53" s="60"/>
      <c r="K53" s="60"/>
    </row>
    <row r="54" spans="1:19" x14ac:dyDescent="0.25">
      <c r="E54" s="60"/>
      <c r="F54" s="60"/>
      <c r="G54" s="60"/>
      <c r="H54" s="60"/>
      <c r="I54" s="60"/>
      <c r="J54" s="60"/>
      <c r="K54" s="60"/>
    </row>
    <row r="55" spans="1:19" x14ac:dyDescent="0.25">
      <c r="E55" s="60"/>
      <c r="F55" s="60"/>
      <c r="G55" s="60"/>
      <c r="H55" s="60"/>
      <c r="I55" s="60"/>
      <c r="J55" s="60"/>
      <c r="K55" s="60"/>
    </row>
    <row r="56" spans="1:19" x14ac:dyDescent="0.25">
      <c r="E56" s="60"/>
      <c r="F56" s="76" t="s">
        <v>66</v>
      </c>
      <c r="G56" s="76" t="s">
        <v>64</v>
      </c>
      <c r="H56" s="76" t="s">
        <v>67</v>
      </c>
      <c r="I56" s="76" t="s">
        <v>65</v>
      </c>
      <c r="J56" s="60"/>
      <c r="K56" s="60"/>
    </row>
    <row r="57" spans="1:19" x14ac:dyDescent="0.25">
      <c r="E57" s="77" t="s">
        <v>59</v>
      </c>
      <c r="F57" s="78">
        <v>1948435</v>
      </c>
      <c r="G57" s="78">
        <v>6614176</v>
      </c>
      <c r="H57" s="78">
        <f>H21+H36-H28-H43-H44-H45</f>
        <v>1375631</v>
      </c>
      <c r="I57" s="61">
        <f>H57+109815</f>
        <v>1485446</v>
      </c>
      <c r="J57" s="60"/>
      <c r="K57" s="60"/>
      <c r="M57" s="61"/>
      <c r="Q57" s="26"/>
      <c r="S57" s="26"/>
    </row>
    <row r="58" spans="1:19" x14ac:dyDescent="0.25">
      <c r="E58" s="77" t="s">
        <v>60</v>
      </c>
      <c r="F58" s="78">
        <v>2614741</v>
      </c>
      <c r="G58" s="78">
        <v>7163405</v>
      </c>
      <c r="H58" s="78">
        <f>H28+H43</f>
        <v>2083548</v>
      </c>
      <c r="I58" s="61">
        <f>H58+2044847</f>
        <v>4128395</v>
      </c>
      <c r="J58" s="60"/>
      <c r="K58" s="60"/>
      <c r="Q58" s="26"/>
    </row>
    <row r="59" spans="1:19" x14ac:dyDescent="0.25">
      <c r="E59" s="77" t="s">
        <v>61</v>
      </c>
      <c r="F59" s="78">
        <v>2600</v>
      </c>
      <c r="G59" s="78">
        <v>2600</v>
      </c>
      <c r="H59" s="78">
        <f>H45</f>
        <v>917</v>
      </c>
      <c r="I59" s="61">
        <f t="shared" ref="I59:I60" si="15">H59</f>
        <v>917</v>
      </c>
      <c r="J59" s="60"/>
      <c r="K59" s="60"/>
    </row>
    <row r="60" spans="1:19" x14ac:dyDescent="0.25">
      <c r="E60" s="77" t="s">
        <v>62</v>
      </c>
      <c r="F60" s="77"/>
      <c r="G60" s="77"/>
      <c r="H60" s="78">
        <f>H44</f>
        <v>1162</v>
      </c>
      <c r="I60" s="61">
        <f t="shared" si="15"/>
        <v>1162</v>
      </c>
      <c r="J60" s="60"/>
      <c r="K60" s="60"/>
    </row>
    <row r="61" spans="1:19" x14ac:dyDescent="0.25">
      <c r="E61" s="77"/>
      <c r="F61" s="77"/>
      <c r="G61" s="77"/>
      <c r="H61" s="60"/>
      <c r="I61" s="60"/>
      <c r="J61" s="60"/>
      <c r="K61" s="60"/>
    </row>
    <row r="62" spans="1:19" x14ac:dyDescent="0.25">
      <c r="E62" s="77"/>
      <c r="F62" s="78">
        <f>F57+F58+F59+F60</f>
        <v>4565776</v>
      </c>
      <c r="G62" s="78">
        <f>G57+G58+G59+G60</f>
        <v>13780181</v>
      </c>
      <c r="H62" s="78">
        <f>H57+H58+H59+H60</f>
        <v>3461258</v>
      </c>
      <c r="I62" s="78">
        <f>I57+I58+I59+I60</f>
        <v>5615920</v>
      </c>
      <c r="J62" s="60"/>
      <c r="K62" s="60"/>
    </row>
    <row r="63" spans="1:19" x14ac:dyDescent="0.25">
      <c r="E63" s="60"/>
      <c r="F63" s="60"/>
      <c r="G63" s="60"/>
      <c r="H63" s="60"/>
      <c r="I63" s="60"/>
      <c r="J63" s="60"/>
      <c r="K63" s="60"/>
    </row>
    <row r="64" spans="1:19" x14ac:dyDescent="0.25">
      <c r="E64" s="60"/>
      <c r="F64" s="61">
        <f>F62-F19</f>
        <v>0</v>
      </c>
      <c r="G64" s="61">
        <f>G62-G19</f>
        <v>0</v>
      </c>
      <c r="H64" s="61">
        <f>H62-H19</f>
        <v>0</v>
      </c>
      <c r="I64" s="61">
        <f>I62-I19</f>
        <v>0.40000000037252903</v>
      </c>
      <c r="J64" s="60"/>
      <c r="K64" s="60"/>
    </row>
    <row r="65" spans="5:11" x14ac:dyDescent="0.25">
      <c r="E65" s="60"/>
      <c r="F65" s="60"/>
      <c r="G65" s="60"/>
      <c r="H65" s="60"/>
      <c r="I65" s="60"/>
      <c r="J65" s="60"/>
      <c r="K65" s="60"/>
    </row>
    <row r="66" spans="5:11" x14ac:dyDescent="0.25">
      <c r="E66" s="60"/>
      <c r="F66" s="60"/>
      <c r="G66" s="60"/>
      <c r="H66" s="60"/>
      <c r="I66" s="78"/>
      <c r="J66" s="60"/>
      <c r="K66" s="60"/>
    </row>
    <row r="67" spans="5:11" x14ac:dyDescent="0.25">
      <c r="E67" s="60"/>
      <c r="F67" s="60"/>
      <c r="G67" s="60"/>
      <c r="H67" s="60"/>
      <c r="I67" s="60"/>
      <c r="J67" s="60"/>
      <c r="K67" s="60"/>
    </row>
    <row r="68" spans="5:11" x14ac:dyDescent="0.25">
      <c r="E68" s="60"/>
      <c r="F68" s="61">
        <f>F43+F28</f>
        <v>2614741</v>
      </c>
      <c r="G68" s="61">
        <f t="shared" ref="G68:I68" si="16">G43+G28</f>
        <v>7163405</v>
      </c>
      <c r="H68" s="61">
        <f t="shared" si="16"/>
        <v>2083548</v>
      </c>
      <c r="I68" s="61">
        <f t="shared" si="16"/>
        <v>4128394.6</v>
      </c>
      <c r="J68" s="60"/>
      <c r="K68" s="60"/>
    </row>
    <row r="69" spans="5:11" x14ac:dyDescent="0.25">
      <c r="E69" s="60"/>
      <c r="F69" s="60"/>
      <c r="G69" s="60"/>
      <c r="H69" s="60"/>
      <c r="I69" s="60"/>
      <c r="J69" s="60"/>
      <c r="K69" s="60"/>
    </row>
  </sheetData>
  <mergeCells count="22">
    <mergeCell ref="A49:K49"/>
    <mergeCell ref="A1:K1"/>
    <mergeCell ref="A3:K3"/>
    <mergeCell ref="A14:A17"/>
    <mergeCell ref="B14:B17"/>
    <mergeCell ref="C14:D14"/>
    <mergeCell ref="E14:E17"/>
    <mergeCell ref="F14:I15"/>
    <mergeCell ref="J14:K16"/>
    <mergeCell ref="C15:C17"/>
    <mergeCell ref="D15:D17"/>
    <mergeCell ref="F16:G16"/>
    <mergeCell ref="H16:I16"/>
    <mergeCell ref="B4:H4"/>
    <mergeCell ref="B5:H5"/>
    <mergeCell ref="B11:H11"/>
    <mergeCell ref="B12:H12"/>
    <mergeCell ref="B6:H6"/>
    <mergeCell ref="B7:H7"/>
    <mergeCell ref="B8:H8"/>
    <mergeCell ref="B9:H9"/>
    <mergeCell ref="B10:H10"/>
  </mergeCells>
  <printOptions horizontalCentered="1"/>
  <pageMargins left="0.78740157480314965" right="0" top="0.27559055118110237" bottom="0.19685039370078741" header="0.31496062992125984" footer="0.31496062992125984"/>
  <pageSetup paperSize="9" scale="50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3-г 2025 </vt:lpstr>
      <vt:lpstr>'форма 3-г 2025 '!Заголовки_для_печати</vt:lpstr>
      <vt:lpstr>'форма 3-г 2025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FELDSHEROVA</dc:creator>
  <cp:lastModifiedBy>Назаренко Наталья Николаевна</cp:lastModifiedBy>
  <cp:lastPrinted>2025-07-03T23:22:43Z</cp:lastPrinted>
  <dcterms:created xsi:type="dcterms:W3CDTF">2013-03-15T01:44:40Z</dcterms:created>
  <dcterms:modified xsi:type="dcterms:W3CDTF">2026-07-10T01:09:36Z</dcterms:modified>
</cp:coreProperties>
</file>