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иск бюджет 2025\БДР ВП на 2025 год\Формы СЕМ к приказу 159-т\отправка 03.07.25\"/>
    </mc:Choice>
  </mc:AlternateContent>
  <xr:revisionPtr revIDLastSave="0" documentId="8_{714D9B0B-A617-4C9F-A133-86111DA7F463}" xr6:coauthVersionLast="36" xr6:coauthVersionMax="36" xr10:uidLastSave="{00000000-0000-0000-0000-000000000000}"/>
  <bookViews>
    <workbookView xWindow="0" yWindow="0" windowWidth="23256" windowHeight="12432" xr2:uid="{00000000-000D-0000-FFFF-FFFF00000000}"/>
  </bookViews>
  <sheets>
    <sheet name="форма 3-г 2024 " sheetId="1" r:id="rId1"/>
  </sheets>
  <definedNames>
    <definedName name="_xlnm.Print_Titles" localSheetId="0">'форма 3-г 2024 '!$5:$8</definedName>
    <definedName name="_xlnm.Print_Area" localSheetId="0">'форма 3-г 2024 '!$A$1:$K$38</definedName>
  </definedNames>
  <calcPr calcId="191029"/>
</workbook>
</file>

<file path=xl/calcChain.xml><?xml version="1.0" encoding="utf-8"?>
<calcChain xmlns="http://schemas.openxmlformats.org/spreadsheetml/2006/main">
  <c r="I19" i="1" l="1"/>
  <c r="J33" i="1" l="1"/>
  <c r="K33" i="1"/>
  <c r="I28" i="1"/>
  <c r="I29" i="1" l="1"/>
  <c r="I30" i="1"/>
  <c r="I34" i="1"/>
  <c r="I32" i="1"/>
  <c r="I31" i="1"/>
  <c r="H28" i="1"/>
  <c r="I27" i="1" l="1"/>
  <c r="H29" i="1"/>
  <c r="H34" i="1"/>
  <c r="H30" i="1"/>
  <c r="H31" i="1"/>
  <c r="H32" i="1"/>
  <c r="H27" i="1" l="1"/>
  <c r="H19" i="1"/>
  <c r="I18" i="1"/>
  <c r="H18" i="1"/>
  <c r="I17" i="1"/>
  <c r="I16" i="1"/>
  <c r="I14" i="1"/>
  <c r="I15" i="1"/>
  <c r="I13" i="1"/>
  <c r="H14" i="1" l="1"/>
  <c r="H13" i="1" l="1"/>
  <c r="H16" i="1" l="1"/>
  <c r="H17" i="1"/>
  <c r="H15" i="1"/>
  <c r="H12" i="1" l="1"/>
  <c r="G30" i="1"/>
  <c r="G29" i="1"/>
  <c r="G28" i="1"/>
  <c r="F34" i="1"/>
  <c r="F32" i="1"/>
  <c r="F31" i="1"/>
  <c r="F30" i="1"/>
  <c r="F29" i="1"/>
  <c r="F28" i="1"/>
  <c r="G19" i="1"/>
  <c r="F19" i="1"/>
  <c r="G18" i="1"/>
  <c r="F18" i="1"/>
  <c r="F17" i="1"/>
  <c r="G17" i="1"/>
  <c r="G16" i="1"/>
  <c r="F16" i="1"/>
  <c r="G15" i="1"/>
  <c r="K15" i="1" s="1"/>
  <c r="F15" i="1"/>
  <c r="J15" i="1" s="1"/>
  <c r="G14" i="1"/>
  <c r="F14" i="1"/>
  <c r="G34" i="1"/>
  <c r="G31" i="1"/>
  <c r="G32" i="1"/>
  <c r="G13" i="1"/>
  <c r="F13" i="1"/>
  <c r="J36" i="1" l="1"/>
  <c r="K36" i="1"/>
  <c r="J31" i="1" l="1"/>
  <c r="K31" i="1"/>
  <c r="F27" i="1" l="1"/>
  <c r="F26" i="1" s="1"/>
  <c r="G27" i="1"/>
  <c r="F12" i="1" l="1"/>
  <c r="K34" i="1" l="1"/>
  <c r="J34" i="1"/>
  <c r="K35" i="1" l="1"/>
  <c r="J35" i="1"/>
  <c r="I12" i="1" l="1"/>
  <c r="K13" i="1"/>
  <c r="J13" i="1"/>
  <c r="E12" i="1" l="1"/>
  <c r="E11" i="1" l="1"/>
  <c r="G12" i="1" l="1"/>
  <c r="G11" i="1" s="1"/>
  <c r="F11" i="1" l="1"/>
  <c r="H11" i="1" l="1"/>
  <c r="J11" i="1" s="1"/>
  <c r="J12" i="1"/>
  <c r="I11" i="1"/>
  <c r="K11" i="1" s="1"/>
  <c r="K12" i="1"/>
  <c r="J14" i="1"/>
  <c r="K14" i="1"/>
  <c r="J16" i="1"/>
  <c r="K16" i="1"/>
  <c r="J17" i="1"/>
  <c r="K17" i="1"/>
  <c r="J18" i="1"/>
  <c r="K18" i="1"/>
  <c r="J19" i="1"/>
  <c r="K19" i="1"/>
  <c r="E27" i="1" l="1"/>
  <c r="E24" i="1" l="1"/>
  <c r="K32" i="1" l="1"/>
  <c r="J32" i="1"/>
  <c r="K30" i="1"/>
  <c r="J30" i="1"/>
  <c r="K29" i="1"/>
  <c r="J29" i="1"/>
  <c r="K28" i="1"/>
  <c r="J28" i="1"/>
  <c r="I24" i="1"/>
  <c r="H24" i="1"/>
  <c r="G24" i="1"/>
  <c r="F24" i="1"/>
  <c r="F23" i="1" s="1"/>
  <c r="E23" i="1" l="1"/>
  <c r="G23" i="1"/>
  <c r="H23" i="1"/>
  <c r="E26" i="1"/>
  <c r="H26" i="1" l="1"/>
  <c r="H10" i="1" s="1"/>
  <c r="J27" i="1"/>
  <c r="G26" i="1"/>
  <c r="G10" i="1" s="1"/>
  <c r="K27" i="1"/>
  <c r="E10" i="1"/>
  <c r="I26" i="1"/>
  <c r="I23" i="1"/>
  <c r="F10" i="1"/>
  <c r="I10" i="1" l="1"/>
  <c r="J26" i="1"/>
  <c r="K26" i="1"/>
  <c r="K10" i="1" l="1"/>
  <c r="J10" i="1"/>
</calcChain>
</file>

<file path=xl/sharedStrings.xml><?xml version="1.0" encoding="utf-8"?>
<sst xmlns="http://schemas.openxmlformats.org/spreadsheetml/2006/main" count="79" uniqueCount="59">
  <si>
    <t>Автотранспорт</t>
  </si>
  <si>
    <t>Приобретение земельных участков</t>
  </si>
  <si>
    <t>- за счет собственных средств организации;</t>
  </si>
  <si>
    <t xml:space="preserve">Итого инвестиции </t>
  </si>
  <si>
    <t>с начала реализации проекта нарастающим итогом, %</t>
  </si>
  <si>
    <t>с начала реализации проекта нарастающим итогом (тыс. руб.)</t>
  </si>
  <si>
    <t>факт</t>
  </si>
  <si>
    <t>окончание (мес./год)</t>
  </si>
  <si>
    <t>начало (мес./год)</t>
  </si>
  <si>
    <t>Отклонение фактических показателей от плановых</t>
  </si>
  <si>
    <t>Расходы на реализацию инвестиционной программы в периоде t (отчетный период)</t>
  </si>
  <si>
    <t>Расходы на реализацию инвестиционной программы, всего (тыс. руб.)</t>
  </si>
  <si>
    <t>Срок реализации</t>
  </si>
  <si>
    <t>Наименование проекта в рамках инвестиционной программы СЕМ</t>
  </si>
  <si>
    <t>N п/п</t>
  </si>
  <si>
    <t>    </t>
  </si>
  <si>
    <t xml:space="preserve">Форма N 3-г </t>
  </si>
  <si>
    <t>тыс. руб. без НДС</t>
  </si>
  <si>
    <t>Строительство и реконструкция зданий, сооружений, причалов</t>
  </si>
  <si>
    <t>З-я очередь строительства углепогрузочного комплекса в Порту Восточном:</t>
  </si>
  <si>
    <t>в том числе за счет собственных  средств:</t>
  </si>
  <si>
    <t xml:space="preserve">     &lt;*&gt; Приводятся сведения на очередной период (период t).
    &lt;**&gt; 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каждому уровню.
    &lt;***&gt; В текущих ценах.</t>
  </si>
  <si>
    <t>в том числе за счет  заемных средств:</t>
  </si>
  <si>
    <t xml:space="preserve">Замена и приобретение новой внутрипортовой техники: тягачи, погрузчики, грейфера, автомобили и т.д. </t>
  </si>
  <si>
    <t>Инженерные системы (кондиционеры, вентиляция, водоснабжение, канализация, электроснабжение, оборудование трансформаторных подстанций и т.д.)</t>
  </si>
  <si>
    <t>Системы отдела связи: охранная, пожарная сигнализации, система громкоговорящей связи,охранное и промышленное видеонаблюдение, СКУД и т.д.)</t>
  </si>
  <si>
    <t>октябрь 2018г.</t>
  </si>
  <si>
    <t>январь 2018г.</t>
  </si>
  <si>
    <t>Проект 1 
Стивидорная деятельность: ППК-1, ППК-3, Т3, в том числе :</t>
  </si>
  <si>
    <t>план &lt;***&gt;    ТПФП</t>
  </si>
  <si>
    <t>Проект 2
Портофлот, в том числе :</t>
  </si>
  <si>
    <t>Проект 3
Нерегулируемая деятельность, 
в том числе :</t>
  </si>
  <si>
    <t>Итого за счет собственных средств</t>
  </si>
  <si>
    <t>декабрь 2024г.</t>
  </si>
  <si>
    <t>апрель 2022г.</t>
  </si>
  <si>
    <t>декабрь 2026г.</t>
  </si>
  <si>
    <t>Прочее оборудование (оборудование ИВЦ,  электрооборудование , станки, измерительные приборы, инструмент, мебель, бытовая техника и т.д.)</t>
  </si>
  <si>
    <t>декабрь 2025г.</t>
  </si>
  <si>
    <t>АСУТП</t>
  </si>
  <si>
    <t>Строительство и реконструкция зданий, сооружений.</t>
  </si>
  <si>
    <t>НМА, НИОКР</t>
  </si>
  <si>
    <t xml:space="preserve">Отчет о реализации инвестиций в рамках реализации инвестиционной программы СЕМ
 по освоению капитальных вложений  АО "Восточный Порт" за  2024 год </t>
  </si>
  <si>
    <t>2024г. 
(отчетный период) 
(тыс. руб.)</t>
  </si>
  <si>
    <t>2024г.
(отчетный период), %</t>
  </si>
  <si>
    <t>февраль 2024г.</t>
  </si>
  <si>
    <t>сентябрь 2024г.</t>
  </si>
  <si>
    <t>Замена и модернизация, дооборудование производственного, перегрузочного, конвейерного оборудования, техники, систем пылеподавления</t>
  </si>
  <si>
    <t>март 2023г.</t>
  </si>
  <si>
    <t>декабрь 2028г.</t>
  </si>
  <si>
    <t>апрель 2021г.</t>
  </si>
  <si>
    <t>сентябрь 2025г.</t>
  </si>
  <si>
    <t>Прочие оборудование (вспомогательное оборудование, станки, измерительные приборы, инструмент, мебель, бытовая техника и т.д.)</t>
  </si>
  <si>
    <t>январь 2024г.</t>
  </si>
  <si>
    <t>июль 2024г.</t>
  </si>
  <si>
    <t>2024г.  (отчетный период) 
(тыс. руб.)</t>
  </si>
  <si>
    <t>Модернизация тепловозов</t>
  </si>
  <si>
    <t>апрель 2024г.</t>
  </si>
  <si>
    <t>июнь 2024г.</t>
  </si>
  <si>
    <t>октябрь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</si>
</sst>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mmmm\ yyyy;@"/>
    <numFmt numFmtId="165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Helv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center" wrapText="1"/>
    </xf>
    <xf numFmtId="14" fontId="10" fillId="5" borderId="1" xfId="0" applyNumberFormat="1" applyFont="1" applyFill="1" applyBorder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14" fontId="11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horizontal="right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="80" zoomScaleNormal="80" zoomScaleSheetLayoutView="90" workbookViewId="0">
      <pane ySplit="12" topLeftCell="A13" activePane="bottomLeft" state="frozen"/>
      <selection pane="bottomLeft" activeCell="N8" sqref="N8"/>
    </sheetView>
  </sheetViews>
  <sheetFormatPr defaultColWidth="9.109375" defaultRowHeight="13.8" x14ac:dyDescent="0.25"/>
  <cols>
    <col min="1" max="1" width="4.44140625" style="1" customWidth="1"/>
    <col min="2" max="2" width="42.5546875" style="1" customWidth="1"/>
    <col min="3" max="3" width="13.5546875" style="1" customWidth="1"/>
    <col min="4" max="4" width="12.6640625" style="1" customWidth="1"/>
    <col min="5" max="5" width="12.88671875" style="1" customWidth="1"/>
    <col min="6" max="6" width="12.109375" style="1" customWidth="1"/>
    <col min="7" max="7" width="12.33203125" style="1" customWidth="1"/>
    <col min="8" max="8" width="12" style="1" customWidth="1"/>
    <col min="9" max="9" width="13.5546875" style="1" customWidth="1"/>
    <col min="10" max="10" width="10.6640625" style="1" customWidth="1"/>
    <col min="11" max="11" width="11.88671875" style="1" customWidth="1"/>
    <col min="12" max="19" width="9.109375" style="58"/>
    <col min="20" max="16384" width="9.109375" style="1"/>
  </cols>
  <sheetData>
    <row r="1" spans="1:11" ht="15" customHeight="1" x14ac:dyDescent="0.25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idden="1" x14ac:dyDescent="0.25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31.5" customHeight="1" x14ac:dyDescent="0.3">
      <c r="A3" s="51" t="s">
        <v>41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0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57" t="s">
        <v>17</v>
      </c>
      <c r="K4" s="57"/>
    </row>
    <row r="5" spans="1:11" ht="15" customHeight="1" x14ac:dyDescent="0.25">
      <c r="A5" s="52" t="s">
        <v>14</v>
      </c>
      <c r="B5" s="55" t="s">
        <v>13</v>
      </c>
      <c r="C5" s="55" t="s">
        <v>12</v>
      </c>
      <c r="D5" s="55"/>
      <c r="E5" s="55" t="s">
        <v>11</v>
      </c>
      <c r="F5" s="55" t="s">
        <v>10</v>
      </c>
      <c r="G5" s="55"/>
      <c r="H5" s="55"/>
      <c r="I5" s="55"/>
      <c r="J5" s="55" t="s">
        <v>9</v>
      </c>
      <c r="K5" s="55"/>
    </row>
    <row r="6" spans="1:11" ht="15" customHeight="1" x14ac:dyDescent="0.25">
      <c r="A6" s="53"/>
      <c r="B6" s="55"/>
      <c r="C6" s="55" t="s">
        <v>8</v>
      </c>
      <c r="D6" s="55" t="s">
        <v>7</v>
      </c>
      <c r="E6" s="55"/>
      <c r="F6" s="55"/>
      <c r="G6" s="55"/>
      <c r="H6" s="55"/>
      <c r="I6" s="55"/>
      <c r="J6" s="55"/>
      <c r="K6" s="55"/>
    </row>
    <row r="7" spans="1:11" x14ac:dyDescent="0.25">
      <c r="A7" s="53"/>
      <c r="B7" s="55"/>
      <c r="C7" s="55"/>
      <c r="D7" s="55"/>
      <c r="E7" s="55"/>
      <c r="F7" s="56" t="s">
        <v>29</v>
      </c>
      <c r="G7" s="56"/>
      <c r="H7" s="56" t="s">
        <v>6</v>
      </c>
      <c r="I7" s="56"/>
      <c r="J7" s="55"/>
      <c r="K7" s="55"/>
    </row>
    <row r="8" spans="1:11" ht="59.25" customHeight="1" x14ac:dyDescent="0.25">
      <c r="A8" s="54"/>
      <c r="B8" s="55"/>
      <c r="C8" s="55"/>
      <c r="D8" s="55"/>
      <c r="E8" s="55"/>
      <c r="F8" s="4" t="s">
        <v>54</v>
      </c>
      <c r="G8" s="4" t="s">
        <v>5</v>
      </c>
      <c r="H8" s="4" t="s">
        <v>42</v>
      </c>
      <c r="I8" s="4" t="s">
        <v>5</v>
      </c>
      <c r="J8" s="4" t="s">
        <v>43</v>
      </c>
      <c r="K8" s="4" t="s">
        <v>4</v>
      </c>
    </row>
    <row r="9" spans="1:11" x14ac:dyDescent="0.25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</row>
    <row r="10" spans="1:11" ht="17.399999999999999" x14ac:dyDescent="0.25">
      <c r="A10" s="7"/>
      <c r="B10" s="8" t="s">
        <v>3</v>
      </c>
      <c r="C10" s="9"/>
      <c r="D10" s="9"/>
      <c r="E10" s="10">
        <f>E11+E23+E26</f>
        <v>3924400</v>
      </c>
      <c r="F10" s="10">
        <f>F11+F23+F26</f>
        <v>3497253</v>
      </c>
      <c r="G10" s="10">
        <f>G11+G23+G26</f>
        <v>10561557</v>
      </c>
      <c r="H10" s="10">
        <f>H11+H23+H26</f>
        <v>1637029</v>
      </c>
      <c r="I10" s="10">
        <f>I11+I23+I26</f>
        <v>3924400</v>
      </c>
      <c r="J10" s="11">
        <f>H10/F10</f>
        <v>0.46808995517338892</v>
      </c>
      <c r="K10" s="11">
        <f>I10/G10</f>
        <v>0.37157400182567779</v>
      </c>
    </row>
    <row r="11" spans="1:11" ht="39.6" x14ac:dyDescent="0.25">
      <c r="A11" s="12">
        <v>1</v>
      </c>
      <c r="B11" s="13" t="s">
        <v>28</v>
      </c>
      <c r="C11" s="14"/>
      <c r="D11" s="14"/>
      <c r="E11" s="15">
        <f>E12+E22</f>
        <v>2198906</v>
      </c>
      <c r="F11" s="15">
        <f>F12+F22</f>
        <v>1956179</v>
      </c>
      <c r="G11" s="15">
        <f>G12+G22</f>
        <v>7433922</v>
      </c>
      <c r="H11" s="15">
        <f>H12+H22</f>
        <v>448078</v>
      </c>
      <c r="I11" s="15">
        <f>I12+I22</f>
        <v>2198906</v>
      </c>
      <c r="J11" s="16">
        <f>H11/F11</f>
        <v>0.22905777027562407</v>
      </c>
      <c r="K11" s="16">
        <f>I11/G11</f>
        <v>0.29579352594767605</v>
      </c>
    </row>
    <row r="12" spans="1:11" x14ac:dyDescent="0.25">
      <c r="A12" s="18"/>
      <c r="B12" s="19" t="s">
        <v>32</v>
      </c>
      <c r="C12" s="20"/>
      <c r="D12" s="20"/>
      <c r="E12" s="21">
        <f>SUM(E13:E19)+E20</f>
        <v>2198906</v>
      </c>
      <c r="F12" s="21">
        <f>SUM(F13:F19)+F20</f>
        <v>1956179</v>
      </c>
      <c r="G12" s="21">
        <f>SUM(G13:G19)+G20</f>
        <v>7433922</v>
      </c>
      <c r="H12" s="21">
        <f>SUM(H13:H19)+H21</f>
        <v>448078</v>
      </c>
      <c r="I12" s="21">
        <f>SUM(I13:I19)+I21</f>
        <v>2198906</v>
      </c>
      <c r="J12" s="22">
        <f t="shared" ref="J12" si="0">H12/F12</f>
        <v>0.22905777027562407</v>
      </c>
      <c r="K12" s="22">
        <f t="shared" ref="K12" si="1">I12/G12</f>
        <v>0.29579352594767605</v>
      </c>
    </row>
    <row r="13" spans="1:11" ht="34.200000000000003" x14ac:dyDescent="0.25">
      <c r="A13" s="18"/>
      <c r="B13" s="23" t="s">
        <v>23</v>
      </c>
      <c r="C13" s="24" t="s">
        <v>44</v>
      </c>
      <c r="D13" s="24" t="s">
        <v>45</v>
      </c>
      <c r="E13" s="25">
        <v>74079</v>
      </c>
      <c r="F13" s="26">
        <f>14897+17212+49150+9754</f>
        <v>91013</v>
      </c>
      <c r="G13" s="26">
        <f>14897+17212+49150+9754</f>
        <v>91013</v>
      </c>
      <c r="H13" s="27">
        <f>39429+15417+10810+2602+3708+2113</f>
        <v>74079</v>
      </c>
      <c r="I13" s="27">
        <f>39429+15417+10810+2602+3708+2113</f>
        <v>74079</v>
      </c>
      <c r="J13" s="22">
        <f>H13/F13</f>
        <v>0.81393866810235904</v>
      </c>
      <c r="K13" s="22">
        <f>I13/G13</f>
        <v>0.81393866810235904</v>
      </c>
    </row>
    <row r="14" spans="1:11" ht="34.200000000000003" x14ac:dyDescent="0.25">
      <c r="A14" s="18"/>
      <c r="B14" s="23" t="s">
        <v>46</v>
      </c>
      <c r="C14" s="24" t="s">
        <v>47</v>
      </c>
      <c r="D14" s="24" t="s">
        <v>48</v>
      </c>
      <c r="E14" s="21">
        <v>13601</v>
      </c>
      <c r="F14" s="27">
        <f>21506+2935+11704+29527</f>
        <v>65672</v>
      </c>
      <c r="G14" s="27">
        <f>21506+2935+11704+29527+228494+63065+2800+732547</f>
        <v>1092578</v>
      </c>
      <c r="H14" s="27">
        <f>167+4613+4613+1408</f>
        <v>10801</v>
      </c>
      <c r="I14" s="27">
        <f>167+4613+4613+1408+2800</f>
        <v>13601</v>
      </c>
      <c r="J14" s="22">
        <f t="shared" ref="J14:J19" si="2">H14/F14</f>
        <v>0.16446887562431478</v>
      </c>
      <c r="K14" s="22">
        <f t="shared" ref="K14:K19" si="3">I14/G14</f>
        <v>1.244853914320076E-2</v>
      </c>
    </row>
    <row r="15" spans="1:11" x14ac:dyDescent="0.25">
      <c r="A15" s="18"/>
      <c r="B15" s="23" t="s">
        <v>38</v>
      </c>
      <c r="C15" s="24" t="s">
        <v>52</v>
      </c>
      <c r="D15" s="24" t="s">
        <v>33</v>
      </c>
      <c r="E15" s="21">
        <v>27867</v>
      </c>
      <c r="F15" s="27">
        <f>203855+48899</f>
        <v>252754</v>
      </c>
      <c r="G15" s="27">
        <f>203855+48899+3497</f>
        <v>256251</v>
      </c>
      <c r="H15" s="27">
        <f>24370</f>
        <v>24370</v>
      </c>
      <c r="I15" s="27">
        <f>24370+3497</f>
        <v>27867</v>
      </c>
      <c r="J15" s="22">
        <f t="shared" ref="J15" si="4">H15/F15</f>
        <v>9.6417860844932229E-2</v>
      </c>
      <c r="K15" s="22">
        <f t="shared" ref="K15" si="5">I15/G15</f>
        <v>0.10874884390695061</v>
      </c>
    </row>
    <row r="16" spans="1:11" ht="34.200000000000003" x14ac:dyDescent="0.25">
      <c r="A16" s="18"/>
      <c r="B16" s="23" t="s">
        <v>24</v>
      </c>
      <c r="C16" s="24" t="s">
        <v>49</v>
      </c>
      <c r="D16" s="24" t="s">
        <v>50</v>
      </c>
      <c r="E16" s="21">
        <v>95249</v>
      </c>
      <c r="F16" s="27">
        <f>6046+159474+515</f>
        <v>166035</v>
      </c>
      <c r="G16" s="27">
        <f>6046+159474+515+900+62365+1106+1484+715+600</f>
        <v>233205</v>
      </c>
      <c r="H16" s="27">
        <f>769+12575+2211+4777+3393+291+4473+571+295+1300</f>
        <v>30655</v>
      </c>
      <c r="I16" s="27">
        <f>769+12575+2211+4777+3393+291+4473+571+295+1300+900+62379+715+600</f>
        <v>95249</v>
      </c>
      <c r="J16" s="22">
        <f t="shared" si="2"/>
        <v>0.18462974674014515</v>
      </c>
      <c r="K16" s="22">
        <f t="shared" si="3"/>
        <v>0.40843463905147831</v>
      </c>
    </row>
    <row r="17" spans="1:19" ht="45.6" x14ac:dyDescent="0.25">
      <c r="A17" s="18"/>
      <c r="B17" s="23" t="s">
        <v>25</v>
      </c>
      <c r="C17" s="24" t="s">
        <v>34</v>
      </c>
      <c r="D17" s="24" t="s">
        <v>33</v>
      </c>
      <c r="E17" s="21">
        <v>56279</v>
      </c>
      <c r="F17" s="27">
        <f>18133+40131+30919</f>
        <v>89183</v>
      </c>
      <c r="G17" s="27">
        <f>18133+40131+30919+927+1850+465+290</f>
        <v>92715</v>
      </c>
      <c r="H17" s="27">
        <f>1415+967+18841+31524</f>
        <v>52747</v>
      </c>
      <c r="I17" s="27">
        <f>1415+967+18841+31524+927+1850+465+290</f>
        <v>56279</v>
      </c>
      <c r="J17" s="22">
        <f t="shared" si="2"/>
        <v>0.59144680039917918</v>
      </c>
      <c r="K17" s="22">
        <f t="shared" si="3"/>
        <v>0.60701073181254384</v>
      </c>
    </row>
    <row r="18" spans="1:19" ht="34.200000000000003" x14ac:dyDescent="0.25">
      <c r="A18" s="18"/>
      <c r="B18" s="23" t="s">
        <v>51</v>
      </c>
      <c r="C18" s="24" t="s">
        <v>52</v>
      </c>
      <c r="D18" s="24" t="s">
        <v>33</v>
      </c>
      <c r="E18" s="21">
        <v>53913</v>
      </c>
      <c r="F18" s="27">
        <f>135+4752+16809+11201+3808</f>
        <v>36705</v>
      </c>
      <c r="G18" s="27">
        <f>135+4752+16809+11201+3808+1497+1498</f>
        <v>39700</v>
      </c>
      <c r="H18" s="27">
        <f>140+249+1267+2250+194+110+4826+598+1992+372+125+716+250+1835+235+460+463+631+892+310+488+184+326+1285+816+228+3201+3201+3201+3085+3496+982+860+206+7144+891+143+203+259+2176+3061+2</f>
        <v>53353</v>
      </c>
      <c r="I18" s="27">
        <f>140+249+1267+2250+194+110+4826+598+1992+372+125+716+250+1835+235+460+463+631+892+310+488+184+326+1285+816+228+3201+3201+3201+3085+3496+982+860+206+7144+891+143+203+259+2176+3061+2+140+420</f>
        <v>53913</v>
      </c>
      <c r="J18" s="22">
        <f t="shared" si="2"/>
        <v>1.4535621849884213</v>
      </c>
      <c r="K18" s="22">
        <f t="shared" si="3"/>
        <v>1.3580100755667506</v>
      </c>
    </row>
    <row r="19" spans="1:19" ht="22.8" x14ac:dyDescent="0.25">
      <c r="A19" s="18"/>
      <c r="B19" s="23" t="s">
        <v>18</v>
      </c>
      <c r="C19" s="24" t="s">
        <v>26</v>
      </c>
      <c r="D19" s="24" t="s">
        <v>35</v>
      </c>
      <c r="E19" s="28">
        <v>1877918</v>
      </c>
      <c r="F19" s="27">
        <f>1254817</f>
        <v>1254817</v>
      </c>
      <c r="G19" s="29">
        <f>3895724+1732736</f>
        <v>5628460</v>
      </c>
      <c r="H19" s="27">
        <f>156641+45432</f>
        <v>202073</v>
      </c>
      <c r="I19" s="27">
        <f>156641+45432+803544+872301</f>
        <v>1877918</v>
      </c>
      <c r="J19" s="22">
        <f t="shared" si="2"/>
        <v>0.16103782463897126</v>
      </c>
      <c r="K19" s="22">
        <f t="shared" si="3"/>
        <v>0.33364685899873142</v>
      </c>
    </row>
    <row r="20" spans="1:19" ht="22.8" hidden="1" x14ac:dyDescent="0.25">
      <c r="A20" s="18"/>
      <c r="B20" s="23" t="s">
        <v>19</v>
      </c>
      <c r="C20" s="30"/>
      <c r="D20" s="30"/>
      <c r="E20" s="27"/>
      <c r="F20" s="27"/>
      <c r="G20" s="31"/>
      <c r="H20" s="27"/>
      <c r="I20" s="27"/>
      <c r="J20" s="22"/>
      <c r="K20" s="22"/>
    </row>
    <row r="21" spans="1:19" hidden="1" x14ac:dyDescent="0.25">
      <c r="A21" s="18"/>
      <c r="B21" s="23" t="s">
        <v>20</v>
      </c>
      <c r="C21" s="30"/>
      <c r="D21" s="30"/>
      <c r="E21" s="27"/>
      <c r="F21" s="27"/>
      <c r="G21" s="27"/>
      <c r="H21" s="27"/>
      <c r="I21" s="27"/>
      <c r="J21" s="22"/>
      <c r="K21" s="22"/>
    </row>
    <row r="22" spans="1:19" hidden="1" x14ac:dyDescent="0.25">
      <c r="A22" s="18"/>
      <c r="B22" s="32" t="s">
        <v>22</v>
      </c>
      <c r="C22" s="30"/>
      <c r="D22" s="30"/>
      <c r="E22" s="27"/>
      <c r="F22" s="27"/>
      <c r="G22" s="27"/>
      <c r="H22" s="27"/>
      <c r="I22" s="27"/>
      <c r="J22" s="22"/>
      <c r="K22" s="22"/>
    </row>
    <row r="23" spans="1:19" ht="26.4" x14ac:dyDescent="0.25">
      <c r="A23" s="33"/>
      <c r="B23" s="13" t="s">
        <v>30</v>
      </c>
      <c r="C23" s="34"/>
      <c r="D23" s="34"/>
      <c r="E23" s="35">
        <f>E24</f>
        <v>0</v>
      </c>
      <c r="F23" s="35">
        <f>F24</f>
        <v>0</v>
      </c>
      <c r="G23" s="35">
        <f>G24</f>
        <v>0</v>
      </c>
      <c r="H23" s="35">
        <f>H24</f>
        <v>0</v>
      </c>
      <c r="I23" s="35">
        <f>I24</f>
        <v>0</v>
      </c>
      <c r="J23" s="36"/>
      <c r="K23" s="36"/>
    </row>
    <row r="24" spans="1:19" x14ac:dyDescent="0.25">
      <c r="A24" s="18"/>
      <c r="B24" s="19" t="s">
        <v>2</v>
      </c>
      <c r="C24" s="37"/>
      <c r="D24" s="37"/>
      <c r="E24" s="21">
        <f>SUM(E25:E25)</f>
        <v>0</v>
      </c>
      <c r="F24" s="21">
        <f>SUM(F25:F25)</f>
        <v>0</v>
      </c>
      <c r="G24" s="21">
        <f>SUM(G25:G25)</f>
        <v>0</v>
      </c>
      <c r="H24" s="21">
        <f>SUM(H25:H25)</f>
        <v>0</v>
      </c>
      <c r="I24" s="21">
        <f>SUM(I25:I25)</f>
        <v>0</v>
      </c>
      <c r="J24" s="38"/>
      <c r="K24" s="38"/>
    </row>
    <row r="25" spans="1:19" x14ac:dyDescent="0.25">
      <c r="A25" s="18"/>
      <c r="B25" s="23"/>
      <c r="C25" s="24"/>
      <c r="D25" s="24"/>
      <c r="E25" s="27"/>
      <c r="F25" s="27"/>
      <c r="G25" s="27"/>
      <c r="H25" s="27"/>
      <c r="I25" s="27"/>
      <c r="J25" s="22"/>
      <c r="K25" s="22"/>
    </row>
    <row r="26" spans="1:19" ht="39.6" x14ac:dyDescent="0.25">
      <c r="A26" s="33">
        <v>2</v>
      </c>
      <c r="B26" s="39" t="s">
        <v>31</v>
      </c>
      <c r="C26" s="40"/>
      <c r="D26" s="40"/>
      <c r="E26" s="35">
        <f>E27</f>
        <v>1725494</v>
      </c>
      <c r="F26" s="35">
        <f>F27</f>
        <v>1541074</v>
      </c>
      <c r="G26" s="35">
        <f>G27</f>
        <v>3127635</v>
      </c>
      <c r="H26" s="35">
        <f>H27</f>
        <v>1188951</v>
      </c>
      <c r="I26" s="35">
        <f>I27</f>
        <v>1725494</v>
      </c>
      <c r="J26" s="36">
        <f t="shared" ref="J26:J32" si="6">H26/F26</f>
        <v>0.7715080521765989</v>
      </c>
      <c r="K26" s="36">
        <f t="shared" ref="K26:K32" si="7">I26/G26</f>
        <v>0.55169289255299936</v>
      </c>
    </row>
    <row r="27" spans="1:19" s="44" customFormat="1" ht="11.4" x14ac:dyDescent="0.2">
      <c r="A27" s="41"/>
      <c r="B27" s="19" t="s">
        <v>2</v>
      </c>
      <c r="C27" s="42"/>
      <c r="D27" s="42"/>
      <c r="E27" s="26">
        <f>SUM(E28:E36)</f>
        <v>1725494</v>
      </c>
      <c r="F27" s="26">
        <f>SUM(F28:F36)</f>
        <v>1541074</v>
      </c>
      <c r="G27" s="26">
        <f>SUM(G28:G36)</f>
        <v>3127635</v>
      </c>
      <c r="H27" s="26">
        <f t="shared" ref="H27:I27" si="8">SUM(H28:H36)</f>
        <v>1188951</v>
      </c>
      <c r="I27" s="26">
        <f t="shared" si="8"/>
        <v>1725494</v>
      </c>
      <c r="J27" s="43">
        <f t="shared" si="6"/>
        <v>0.7715080521765989</v>
      </c>
      <c r="K27" s="43">
        <f t="shared" si="7"/>
        <v>0.55169289255299936</v>
      </c>
      <c r="L27" s="60"/>
      <c r="M27" s="60"/>
      <c r="N27" s="60"/>
      <c r="O27" s="60"/>
      <c r="P27" s="60"/>
      <c r="Q27" s="60"/>
      <c r="R27" s="60"/>
      <c r="S27" s="60"/>
    </row>
    <row r="28" spans="1:19" x14ac:dyDescent="0.25">
      <c r="A28" s="18"/>
      <c r="B28" s="23" t="s">
        <v>39</v>
      </c>
      <c r="C28" s="24" t="s">
        <v>27</v>
      </c>
      <c r="D28" s="24" t="s">
        <v>37</v>
      </c>
      <c r="E28" s="31">
        <v>1562818</v>
      </c>
      <c r="F28" s="27">
        <f>111972+19326+1128616+42350</f>
        <v>1302264</v>
      </c>
      <c r="G28" s="31">
        <f>221251+116742+88281+59776+2223147</f>
        <v>2709197</v>
      </c>
      <c r="H28" s="27">
        <f>47926+8229+3341+1020460</f>
        <v>1079956</v>
      </c>
      <c r="I28" s="27">
        <f>47926+8229+3341+1020460+1362+481500</f>
        <v>1562818</v>
      </c>
      <c r="J28" s="22">
        <f t="shared" si="6"/>
        <v>0.82929114219543809</v>
      </c>
      <c r="K28" s="22">
        <f t="shared" si="7"/>
        <v>0.57685653719533869</v>
      </c>
    </row>
    <row r="29" spans="1:19" ht="45.6" x14ac:dyDescent="0.25">
      <c r="A29" s="18"/>
      <c r="B29" s="23" t="s">
        <v>25</v>
      </c>
      <c r="C29" s="24" t="s">
        <v>52</v>
      </c>
      <c r="D29" s="24" t="s">
        <v>33</v>
      </c>
      <c r="E29" s="27">
        <v>10902</v>
      </c>
      <c r="F29" s="27">
        <f>425+5286+3646+235+5044+1443+118</f>
        <v>16197</v>
      </c>
      <c r="G29" s="27">
        <f>425+5286+3646+235+5044+1443+118+1880</f>
        <v>18077</v>
      </c>
      <c r="H29" s="27">
        <f>414+300+2300+235+829+2990+1218+1266+119</f>
        <v>9671</v>
      </c>
      <c r="I29" s="27">
        <f>414+300+2300+235+829+2990+1218+1266+119+1231</f>
        <v>10902</v>
      </c>
      <c r="J29" s="22">
        <f t="shared" si="6"/>
        <v>0.5970858801012533</v>
      </c>
      <c r="K29" s="22">
        <f t="shared" si="7"/>
        <v>0.60308679537533882</v>
      </c>
    </row>
    <row r="30" spans="1:19" s="17" customFormat="1" ht="34.200000000000003" x14ac:dyDescent="0.3">
      <c r="A30" s="45"/>
      <c r="B30" s="23" t="s">
        <v>24</v>
      </c>
      <c r="C30" s="24" t="s">
        <v>34</v>
      </c>
      <c r="D30" s="24" t="s">
        <v>37</v>
      </c>
      <c r="E30" s="27">
        <v>62881</v>
      </c>
      <c r="F30" s="27">
        <f>2332+12034+10649+687</f>
        <v>25702</v>
      </c>
      <c r="G30" s="27">
        <f>2332+12034+10649+687+53019+890+5662+107892+10285</f>
        <v>203450</v>
      </c>
      <c r="H30" s="27">
        <f>2343+7257+254+577</f>
        <v>10431</v>
      </c>
      <c r="I30" s="27">
        <f>2343+7257+254+577+51560+890</f>
        <v>62881</v>
      </c>
      <c r="J30" s="22">
        <f t="shared" si="6"/>
        <v>0.40584390319819469</v>
      </c>
      <c r="K30" s="22">
        <f t="shared" si="7"/>
        <v>0.309073482428115</v>
      </c>
      <c r="L30" s="59"/>
      <c r="M30" s="59"/>
      <c r="N30" s="59"/>
      <c r="O30" s="59"/>
      <c r="P30" s="59"/>
      <c r="Q30" s="59"/>
      <c r="R30" s="59"/>
      <c r="S30" s="59"/>
    </row>
    <row r="31" spans="1:19" s="17" customFormat="1" x14ac:dyDescent="0.3">
      <c r="A31" s="45"/>
      <c r="B31" s="23" t="s">
        <v>38</v>
      </c>
      <c r="C31" s="24" t="s">
        <v>58</v>
      </c>
      <c r="D31" s="24" t="s">
        <v>33</v>
      </c>
      <c r="E31" s="27">
        <v>5328</v>
      </c>
      <c r="F31" s="27">
        <f>21697</f>
        <v>21697</v>
      </c>
      <c r="G31" s="27">
        <f>21697</f>
        <v>21697</v>
      </c>
      <c r="H31" s="27">
        <f>5328</f>
        <v>5328</v>
      </c>
      <c r="I31" s="27">
        <f>5328</f>
        <v>5328</v>
      </c>
      <c r="J31" s="22">
        <f t="shared" ref="J31" si="9">H31/F31</f>
        <v>0.2455639028437111</v>
      </c>
      <c r="K31" s="22">
        <f t="shared" ref="K31" si="10">I31/G31</f>
        <v>0.2455639028437111</v>
      </c>
      <c r="L31" s="59"/>
      <c r="M31" s="59"/>
      <c r="N31" s="59"/>
      <c r="O31" s="59"/>
      <c r="P31" s="59"/>
      <c r="Q31" s="59"/>
      <c r="R31" s="59"/>
      <c r="S31" s="59"/>
    </row>
    <row r="32" spans="1:19" s="17" customFormat="1" x14ac:dyDescent="0.3">
      <c r="A32" s="45"/>
      <c r="B32" s="23" t="s">
        <v>0</v>
      </c>
      <c r="C32" s="24" t="s">
        <v>53</v>
      </c>
      <c r="D32" s="24" t="s">
        <v>45</v>
      </c>
      <c r="E32" s="27">
        <v>11102</v>
      </c>
      <c r="F32" s="27">
        <f>14785</f>
        <v>14785</v>
      </c>
      <c r="G32" s="27">
        <f>14785</f>
        <v>14785</v>
      </c>
      <c r="H32" s="27">
        <f>11102</f>
        <v>11102</v>
      </c>
      <c r="I32" s="27">
        <f>11102</f>
        <v>11102</v>
      </c>
      <c r="J32" s="22">
        <f t="shared" si="6"/>
        <v>0.75089617855935065</v>
      </c>
      <c r="K32" s="22">
        <f t="shared" si="7"/>
        <v>0.75089617855935065</v>
      </c>
      <c r="L32" s="59"/>
      <c r="M32" s="59"/>
      <c r="N32" s="59"/>
      <c r="O32" s="59"/>
      <c r="P32" s="59"/>
      <c r="Q32" s="59"/>
      <c r="R32" s="59"/>
      <c r="S32" s="59"/>
    </row>
    <row r="33" spans="1:19" s="17" customFormat="1" x14ac:dyDescent="0.3">
      <c r="A33" s="45"/>
      <c r="B33" s="23" t="s">
        <v>55</v>
      </c>
      <c r="C33" s="24" t="s">
        <v>56</v>
      </c>
      <c r="D33" s="24" t="s">
        <v>57</v>
      </c>
      <c r="E33" s="27"/>
      <c r="F33" s="27">
        <v>53764</v>
      </c>
      <c r="G33" s="27">
        <v>53764</v>
      </c>
      <c r="H33" s="27"/>
      <c r="I33" s="27"/>
      <c r="J33" s="22">
        <f t="shared" ref="J33" si="11">H33/F33</f>
        <v>0</v>
      </c>
      <c r="K33" s="22">
        <f t="shared" ref="K33" si="12">I33/G33</f>
        <v>0</v>
      </c>
      <c r="L33" s="59"/>
      <c r="M33" s="59"/>
      <c r="N33" s="59"/>
      <c r="O33" s="59"/>
      <c r="P33" s="59"/>
      <c r="Q33" s="59"/>
      <c r="R33" s="59"/>
      <c r="S33" s="59"/>
    </row>
    <row r="34" spans="1:19" ht="45.6" x14ac:dyDescent="0.25">
      <c r="A34" s="18"/>
      <c r="B34" s="23" t="s">
        <v>36</v>
      </c>
      <c r="C34" s="24" t="s">
        <v>52</v>
      </c>
      <c r="D34" s="24" t="s">
        <v>45</v>
      </c>
      <c r="E34" s="27">
        <v>11506</v>
      </c>
      <c r="F34" s="27">
        <f>1400+678+376+429+262+850+1470</f>
        <v>5465</v>
      </c>
      <c r="G34" s="27">
        <f>1400+678+376+429+262+850+1470</f>
        <v>5465</v>
      </c>
      <c r="H34" s="27">
        <f>163+808+960+420+105+418+499+312+225+162+800+853+563+4544+262+412</f>
        <v>11506</v>
      </c>
      <c r="I34" s="27">
        <f>163+808+960+420+105+418+499+312+225+162+800+853+563+4544+262+412</f>
        <v>11506</v>
      </c>
      <c r="J34" s="22">
        <f t="shared" ref="J34" si="13">H34/F34</f>
        <v>2.1053979871912167</v>
      </c>
      <c r="K34" s="22">
        <f t="shared" ref="K34" si="14">I34/G34</f>
        <v>2.1053979871912167</v>
      </c>
    </row>
    <row r="35" spans="1:19" s="47" customFormat="1" x14ac:dyDescent="0.25">
      <c r="A35" s="46"/>
      <c r="B35" s="32" t="s">
        <v>1</v>
      </c>
      <c r="C35" s="24" t="s">
        <v>52</v>
      </c>
      <c r="D35" s="24" t="s">
        <v>33</v>
      </c>
      <c r="E35" s="27">
        <v>10229</v>
      </c>
      <c r="F35" s="27">
        <v>26292</v>
      </c>
      <c r="G35" s="27">
        <v>26292</v>
      </c>
      <c r="H35" s="27">
        <v>10229</v>
      </c>
      <c r="I35" s="27">
        <v>10229</v>
      </c>
      <c r="J35" s="22">
        <f t="shared" ref="J35" si="15">H35/F35</f>
        <v>0.38905370454891219</v>
      </c>
      <c r="K35" s="22">
        <f t="shared" ref="K35" si="16">I35/G35</f>
        <v>0.38905370454891219</v>
      </c>
      <c r="L35" s="61"/>
      <c r="M35" s="61"/>
      <c r="N35" s="61"/>
      <c r="O35" s="61"/>
      <c r="P35" s="61"/>
      <c r="Q35" s="61"/>
      <c r="R35" s="61"/>
      <c r="S35" s="61"/>
    </row>
    <row r="36" spans="1:19" s="17" customFormat="1" ht="14.25" customHeight="1" x14ac:dyDescent="0.3">
      <c r="A36" s="45"/>
      <c r="B36" s="23" t="s">
        <v>40</v>
      </c>
      <c r="C36" s="24" t="s">
        <v>52</v>
      </c>
      <c r="D36" s="24" t="s">
        <v>33</v>
      </c>
      <c r="E36" s="27">
        <v>50728</v>
      </c>
      <c r="F36" s="27">
        <v>74908</v>
      </c>
      <c r="G36" s="27">
        <v>74908</v>
      </c>
      <c r="H36" s="27">
        <v>50728</v>
      </c>
      <c r="I36" s="27">
        <v>50728</v>
      </c>
      <c r="J36" s="22">
        <f t="shared" ref="J36" si="17">H36/F36</f>
        <v>0.67720403695199449</v>
      </c>
      <c r="K36" s="22">
        <f t="shared" ref="K36" si="18">I36/G36</f>
        <v>0.67720403695199449</v>
      </c>
      <c r="L36" s="59"/>
      <c r="M36" s="59"/>
      <c r="N36" s="59"/>
      <c r="O36" s="59"/>
      <c r="P36" s="59"/>
      <c r="Q36" s="59"/>
      <c r="R36" s="59"/>
      <c r="S36" s="59"/>
    </row>
    <row r="38" spans="1:19" s="44" customFormat="1" ht="52.5" customHeight="1" x14ac:dyDescent="0.2">
      <c r="A38" s="48" t="s">
        <v>21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60"/>
      <c r="M38" s="60"/>
      <c r="N38" s="60"/>
      <c r="O38" s="60"/>
      <c r="P38" s="60"/>
      <c r="Q38" s="60"/>
      <c r="R38" s="60"/>
      <c r="S38" s="60"/>
    </row>
  </sheetData>
  <mergeCells count="14">
    <mergeCell ref="A38:K38"/>
    <mergeCell ref="A1:K1"/>
    <mergeCell ref="A3:K3"/>
    <mergeCell ref="A5:A8"/>
    <mergeCell ref="B5:B8"/>
    <mergeCell ref="C5:D5"/>
    <mergeCell ref="E5:E8"/>
    <mergeCell ref="F5:I6"/>
    <mergeCell ref="J5:K7"/>
    <mergeCell ref="C6:C8"/>
    <mergeCell ref="D6:D8"/>
    <mergeCell ref="F7:G7"/>
    <mergeCell ref="H7:I7"/>
    <mergeCell ref="J4:K4"/>
  </mergeCells>
  <printOptions horizontalCentered="1"/>
  <pageMargins left="0.78740157480314965" right="0" top="0.27559055118110237" bottom="0.19685039370078741" header="0.31496062992125984" footer="0.31496062992125984"/>
  <pageSetup paperSize="9" scale="50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3-г 2024 </vt:lpstr>
      <vt:lpstr>'форма 3-г 2024 '!Заголовки_для_печати</vt:lpstr>
      <vt:lpstr>'форма 3-г 2024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FELDSHEROVA</dc:creator>
  <cp:lastModifiedBy>Назаренко Наталья Николаевна</cp:lastModifiedBy>
  <cp:lastPrinted>2025-07-03T23:22:43Z</cp:lastPrinted>
  <dcterms:created xsi:type="dcterms:W3CDTF">2013-03-15T01:44:40Z</dcterms:created>
  <dcterms:modified xsi:type="dcterms:W3CDTF">2025-07-03T23:22:56Z</dcterms:modified>
</cp:coreProperties>
</file>